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omments8.xml" ContentType="application/vnd.openxmlformats-officedocument.spreadsheetml.comments+xml"/>
  <Override PartName="/xl/comments9.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omments6.xml" ContentType="application/vnd.openxmlformats-officedocument.spreadsheetml.comments+xml"/>
  <Override PartName="/xl/comments7.xml" ContentType="application/vnd.openxmlformats-officedocument.spreadsheetml.comment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comments12.xml" ContentType="application/vnd.openxmlformats-officedocument.spreadsheetml.comments+xml"/>
  <Override PartName="/xl/comments13.xml" ContentType="application/vnd.openxmlformats-officedocument.spreadsheetml.comments+xml"/>
  <Override PartName="/xl/worksheets/sheet17.xml" ContentType="application/vnd.openxmlformats-officedocument.spreadsheetml.worksheet+xml"/>
  <Override PartName="/xl/worksheets/sheet18.xml" ContentType="application/vnd.openxmlformats-officedocument.spreadsheetml.worksheet+xml"/>
  <Override PartName="/xl/comments10.xml" ContentType="application/vnd.openxmlformats-officedocument.spreadsheetml.comments+xml"/>
  <Override PartName="/xl/comments11.xml" ContentType="application/vnd.openxmlformats-officedocument.spreadsheetml.comment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240" yWindow="345" windowWidth="14805" windowHeight="7770" activeTab="20"/>
  </bookViews>
  <sheets>
    <sheet name="1" sheetId="5" r:id="rId1"/>
    <sheet name="2" sheetId="3" r:id="rId2"/>
    <sheet name="3" sheetId="26" r:id="rId3"/>
    <sheet name="4" sheetId="28" r:id="rId4"/>
    <sheet name="5" sheetId="49" r:id="rId5"/>
    <sheet name="6" sheetId="50" r:id="rId6"/>
    <sheet name="7" sheetId="31" r:id="rId7"/>
    <sheet name="8" sheetId="32" r:id="rId8"/>
    <sheet name="9" sheetId="33" r:id="rId9"/>
    <sheet name="10" sheetId="34" r:id="rId10"/>
    <sheet name="11" sheetId="35" r:id="rId11"/>
    <sheet name="12" sheetId="18" r:id="rId12"/>
    <sheet name="13" sheetId="22" r:id="rId13"/>
    <sheet name="14" sheetId="23" r:id="rId14"/>
    <sheet name="15" sheetId="24" r:id="rId15"/>
    <sheet name="16" sheetId="51" r:id="rId16"/>
    <sheet name="17" sheetId="52" r:id="rId17"/>
    <sheet name="18" sheetId="53" r:id="rId18"/>
    <sheet name="19" sheetId="54" r:id="rId19"/>
    <sheet name="20" sheetId="47" r:id="rId20"/>
    <sheet name="21" sheetId="25" r:id="rId21"/>
    <sheet name="Лист1" sheetId="48" r:id="rId22"/>
  </sheets>
  <calcPr calcId="124519"/>
</workbook>
</file>

<file path=xl/calcChain.xml><?xml version="1.0" encoding="utf-8"?>
<calcChain xmlns="http://schemas.openxmlformats.org/spreadsheetml/2006/main">
  <c r="A75" i="54"/>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A7"/>
  <c r="A6"/>
  <c r="A5"/>
  <c r="A4"/>
  <c r="A75" i="53"/>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A7"/>
  <c r="A6"/>
  <c r="A5"/>
  <c r="A4"/>
  <c r="A75" i="52"/>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A7"/>
  <c r="A6"/>
  <c r="A5"/>
  <c r="A4"/>
  <c r="A75" i="51"/>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A7"/>
  <c r="A6"/>
  <c r="A5"/>
  <c r="A4"/>
  <c r="A6" i="50" l="1"/>
  <c r="A6" i="49"/>
  <c r="A9" s="1"/>
  <c r="A10" s="1"/>
  <c r="A37"/>
  <c r="A38" s="1"/>
  <c r="A39" s="1"/>
  <c r="A40" s="1"/>
  <c r="A41" s="1"/>
  <c r="A42" s="1"/>
  <c r="A43" s="1"/>
  <c r="A44" s="1"/>
  <c r="A45" s="1"/>
  <c r="A46" s="1"/>
  <c r="A47" s="1"/>
  <c r="A48" s="1"/>
  <c r="A49" s="1"/>
  <c r="A50" s="1"/>
  <c r="A51" s="1"/>
  <c r="A52" s="1"/>
  <c r="A53" s="1"/>
  <c r="A54" s="1"/>
  <c r="A55" s="1"/>
  <c r="A56" s="1"/>
  <c r="A57" s="1"/>
  <c r="A13" i="47"/>
  <c r="A12"/>
  <c r="A11"/>
  <c r="A10"/>
  <c r="A9"/>
  <c r="A8"/>
  <c r="A7"/>
  <c r="A6"/>
  <c r="A5"/>
  <c r="A4"/>
  <c r="C33" i="35" l="1"/>
  <c r="E32"/>
  <c r="E31"/>
  <c r="E30"/>
  <c r="D29"/>
  <c r="D33" s="1"/>
  <c r="C29"/>
  <c r="B29"/>
  <c r="B33" s="1"/>
  <c r="E28"/>
  <c r="E27"/>
  <c r="E26"/>
  <c r="E25"/>
  <c r="E24"/>
  <c r="E23"/>
  <c r="E22"/>
  <c r="E21"/>
  <c r="E20"/>
  <c r="E19"/>
  <c r="E18"/>
  <c r="E17"/>
  <c r="E16"/>
  <c r="E15"/>
  <c r="E14"/>
  <c r="E13"/>
  <c r="E12"/>
  <c r="E11"/>
  <c r="E10"/>
  <c r="E9"/>
  <c r="E8"/>
  <c r="E7"/>
  <c r="E6"/>
  <c r="E5"/>
  <c r="A6" i="31"/>
  <c r="A7" s="1"/>
  <c r="A8" s="1"/>
  <c r="A9" s="1"/>
  <c r="A10" s="1"/>
  <c r="A6" i="28"/>
  <c r="A7" s="1"/>
  <c r="A8" s="1"/>
  <c r="A9" s="1"/>
  <c r="A10" s="1"/>
  <c r="A7" i="26"/>
  <c r="A8" s="1"/>
  <c r="A9" s="1"/>
  <c r="A10" s="1"/>
  <c r="A11" s="1"/>
  <c r="A12" s="1"/>
  <c r="A13" s="1"/>
  <c r="A14" s="1"/>
  <c r="A15" s="1"/>
  <c r="A16" s="1"/>
  <c r="A17" s="1"/>
  <c r="A18" s="1"/>
  <c r="A19" s="1"/>
  <c r="A20" s="1"/>
  <c r="A21" s="1"/>
  <c r="A22" s="1"/>
  <c r="A23" s="1"/>
  <c r="A24" s="1"/>
  <c r="A25" s="1"/>
  <c r="A26" s="1"/>
  <c r="A27" s="1"/>
  <c r="A28" s="1"/>
  <c r="A29" s="1"/>
  <c r="A30" s="1"/>
  <c r="A31" s="1"/>
  <c r="C10" i="3"/>
  <c r="D10"/>
  <c r="B10"/>
  <c r="E33" i="35" l="1"/>
  <c r="E29"/>
  <c r="E7" i="3" l="1"/>
  <c r="E4"/>
  <c r="E10" l="1"/>
  <c r="A7" i="23"/>
  <c r="A23" i="24" l="1"/>
  <c r="A22"/>
  <c r="A21"/>
  <c r="A20"/>
  <c r="A19"/>
  <c r="A18"/>
  <c r="A17"/>
  <c r="A16"/>
  <c r="A15"/>
  <c r="A14"/>
  <c r="A13"/>
  <c r="A12"/>
  <c r="A11"/>
  <c r="A10"/>
  <c r="A9"/>
  <c r="A8"/>
  <c r="A7"/>
  <c r="A6"/>
  <c r="A5"/>
  <c r="A4"/>
  <c r="A23" i="23"/>
  <c r="A22"/>
  <c r="A21"/>
  <c r="A20"/>
  <c r="A19"/>
  <c r="A18"/>
  <c r="A17"/>
  <c r="A16"/>
  <c r="A15"/>
  <c r="A14"/>
  <c r="A13"/>
  <c r="A12"/>
  <c r="A11"/>
  <c r="A10"/>
  <c r="A9"/>
  <c r="A8"/>
  <c r="A6"/>
  <c r="A5"/>
  <c r="A4"/>
  <c r="A4" i="22"/>
  <c r="A23"/>
  <c r="A22"/>
  <c r="A21"/>
  <c r="A20"/>
  <c r="A19"/>
  <c r="A18"/>
  <c r="A17"/>
  <c r="A16"/>
  <c r="A15"/>
  <c r="A14"/>
  <c r="A13"/>
  <c r="A12"/>
  <c r="A11"/>
  <c r="A10"/>
  <c r="A9"/>
  <c r="A8"/>
  <c r="A7"/>
  <c r="A6"/>
  <c r="A5"/>
  <c r="H14" i="5" l="1"/>
  <c r="D14"/>
</calcChain>
</file>

<file path=xl/comments1.xml><?xml version="1.0" encoding="utf-8"?>
<comments xmlns="http://schemas.openxmlformats.org/spreadsheetml/2006/main">
  <authors>
    <author>Илья</author>
    <author>Автор</author>
  </authors>
  <commentList>
    <comment ref="A3" authorId="0">
      <text>
        <r>
          <rPr>
            <b/>
            <sz val="9"/>
            <color indexed="81"/>
            <rFont val="Tahoma"/>
            <family val="2"/>
            <charset val="204"/>
          </rPr>
          <t>Илья:</t>
        </r>
        <r>
          <rPr>
            <sz val="9"/>
            <color indexed="81"/>
            <rFont val="Tahoma"/>
            <family val="2"/>
            <charset val="204"/>
          </rPr>
          <t xml:space="preserve">
В данной таблице указывается количество обучающихся в образовательном учреждении лиц с ОВЗ / инвалидов с разбивкой по категориям лиц с ОВЗ / инвалидов. При этом учитываются все лица с ОВЗ и инвалиды, обучающиеся в ДШИ как по адаптированным образовательным программам, так и по дополнительным предпрофессиональным и дополнительным общеразвивающим программам в области искусств. Сведения предоставляются по состоянию на 1 октября отчётного года согласно форме 1-ДШИ.</t>
        </r>
      </text>
    </comment>
    <comment ref="D3" authorId="0">
      <text>
        <r>
          <rPr>
            <b/>
            <sz val="9"/>
            <color indexed="81"/>
            <rFont val="Tahoma"/>
            <family val="2"/>
            <charset val="204"/>
          </rPr>
          <t>Илья:</t>
        </r>
        <r>
          <rPr>
            <sz val="9"/>
            <color indexed="81"/>
            <rFont val="Tahoma"/>
            <family val="2"/>
            <charset val="204"/>
          </rPr>
          <t xml:space="preserve">
Обучающийся с ограниченными возможностями здоровья - физическое лицо, имеющее недостатки в физическом и (или) психологическом развитии, подтверждённые психолого-медико-педагогической комиссией и препятствующие получению образования без создания специальных условий (п.16 ст.2 ФЗ от 29.12.2012 № 273-ФЗ "Об образовании в Российской Федерации"). Обучающиеся с ОВЗ могут являться или не являться инвалидами. Обращаем внимание, что в численность обучающихся с ОВЗ следует включать только тех обучающихся, которые имеют соответствующее заключение психолого-медико-педагогической комиссии.</t>
        </r>
      </text>
    </comment>
    <comment ref="H3" authorId="0">
      <text>
        <r>
          <rPr>
            <b/>
            <sz val="9"/>
            <color indexed="81"/>
            <rFont val="Tahoma"/>
            <family val="2"/>
            <charset val="204"/>
          </rPr>
          <t>Илья:</t>
        </r>
        <r>
          <rPr>
            <sz val="9"/>
            <color indexed="81"/>
            <rFont val="Tahoma"/>
            <family val="2"/>
            <charset val="204"/>
          </rPr>
          <t xml:space="preserve">
Инвалид - лицо, которое имеет нарушение здоровья со стойким расстройством функций организма, обусловленное заболеваниями, последствиями травм или дефектами, приводящее к ограничению жизнедеятельности и вызывающее необходимость его социальной защиты (ст.1 ФЗ от 24.11.1995 № 181-ФЗ "О социальной защите инвалидов в Российской Федерации").</t>
        </r>
      </text>
    </comment>
    <comment ref="C18" authorId="0">
      <text>
        <r>
          <rPr>
            <b/>
            <sz val="9"/>
            <color indexed="81"/>
            <rFont val="Tahoma"/>
            <family val="2"/>
            <charset val="204"/>
          </rPr>
          <t>Илья:</t>
        </r>
        <r>
          <rPr>
            <sz val="9"/>
            <color indexed="81"/>
            <rFont val="Tahoma"/>
            <family val="2"/>
            <charset val="204"/>
          </rPr>
          <t xml:space="preserve">
В данной графе указывается общее количество адаптированных образовательных программ (в соответствии с ФЗ № 273-ФЗ от 29.12.2012 "Об образовании в Российской Федерации") в ДШИ без разбивки по категориям лиц с ОВЗ / инвалидов.</t>
        </r>
      </text>
    </comment>
    <comment ref="E18" authorId="0">
      <text>
        <r>
          <rPr>
            <b/>
            <sz val="9"/>
            <color indexed="81"/>
            <rFont val="Tahoma"/>
            <family val="2"/>
            <charset val="204"/>
          </rPr>
          <t>Илья:</t>
        </r>
        <r>
          <rPr>
            <sz val="9"/>
            <color indexed="81"/>
            <rFont val="Tahoma"/>
            <family val="2"/>
            <charset val="204"/>
          </rPr>
          <t xml:space="preserve">
В данной графе предоставляется информация о реализуемых ДШИ адаптированных  образовательных программах (в случае их наличия) без разбивки по категориям лиц с ОВЗ / инвалидов.</t>
        </r>
      </text>
    </comment>
    <comment ref="G18" authorId="1">
      <text>
        <r>
          <rPr>
            <b/>
            <sz val="9"/>
            <color indexed="81"/>
            <rFont val="Tahoma"/>
            <family val="2"/>
            <charset val="204"/>
          </rPr>
          <t>Илья:</t>
        </r>
        <r>
          <rPr>
            <sz val="9"/>
            <color indexed="81"/>
            <rFont val="Tahoma"/>
            <family val="2"/>
            <charset val="204"/>
          </rPr>
          <t xml:space="preserve">
В графах 4-7 указывается количество и доля преподавателей (процент от общего количества преподавателей ДШИ), прошедших обучение по программам повышения квалификации или переподготовки направленным на работу с инвалидами и лицами с ОВЗ без разбивки по категориям лиц с ОВЗ / инвалидов. В графах 4 и 6 отчётным периодом является отчётный учебный год, а в графах 5 и 7 - последние 3 года (графа 5 - количество преподавателей на настоящий момент, работающих в ДШИ, прошедших обучение по программам повышения квалификации или переподготовки направленным на работу с инвалидами и лицами с ОВЗ, графа 7 - столько же преподавателей, что и в графе 6, но, соответственно, будет другой %).</t>
        </r>
      </text>
    </comment>
  </commentList>
</comments>
</file>

<file path=xl/comments10.xml><?xml version="1.0" encoding="utf-8"?>
<comments xmlns="http://schemas.openxmlformats.org/spreadsheetml/2006/main">
  <authors>
    <author>Илья</author>
  </authors>
  <commentList>
    <comment ref="B3" authorId="0">
      <text>
        <r>
          <rPr>
            <b/>
            <sz val="9"/>
            <color indexed="81"/>
            <rFont val="Tahoma"/>
            <family val="2"/>
            <charset val="204"/>
          </rPr>
          <t>Илья:</t>
        </r>
        <r>
          <rPr>
            <sz val="9"/>
            <color indexed="81"/>
            <rFont val="Tahoma"/>
            <family val="2"/>
            <charset val="204"/>
          </rPr>
          <t xml:space="preserve">
За отчётный учебный год.</t>
        </r>
      </text>
    </comment>
  </commentList>
</comments>
</file>

<file path=xl/comments11.xml><?xml version="1.0" encoding="utf-8"?>
<comments xmlns="http://schemas.openxmlformats.org/spreadsheetml/2006/main">
  <authors>
    <author>Илья</author>
  </authors>
  <commentList>
    <comment ref="A3" authorId="0">
      <text>
        <r>
          <rPr>
            <b/>
            <sz val="9"/>
            <color indexed="81"/>
            <rFont val="Tahoma"/>
            <family val="2"/>
            <charset val="204"/>
          </rPr>
          <t>Илья:</t>
        </r>
        <r>
          <rPr>
            <sz val="9"/>
            <color indexed="81"/>
            <rFont val="Tahoma"/>
            <family val="2"/>
            <charset val="204"/>
          </rPr>
          <t xml:space="preserve">
К профессиональным творческим мероприятиям относятся конкурсы, фестивали, выставки, олимпиады, учредителем и/или организатором которых является Министерство культуры Российской Федерации, иные государственные организации культуры Российской Федерации, имеющие профессиональную направленность, органы управления культурой субъектов Российской Федерации и подведомственные им детские школы искусств, образовательными организациями среднего и высшего образования отрасли культуры.</t>
        </r>
      </text>
    </comment>
    <comment ref="B3" authorId="0">
      <text>
        <r>
          <rPr>
            <b/>
            <sz val="9"/>
            <color indexed="81"/>
            <rFont val="Tahoma"/>
            <family val="2"/>
            <charset val="204"/>
          </rPr>
          <t>Илья:</t>
        </r>
        <r>
          <rPr>
            <sz val="9"/>
            <color indexed="81"/>
            <rFont val="Tahoma"/>
            <family val="2"/>
            <charset val="204"/>
          </rPr>
          <t xml:space="preserve">
Полное официальное название мероприятия, согласно положению.</t>
        </r>
      </text>
    </comment>
    <comment ref="D3" authorId="0">
      <text>
        <r>
          <rPr>
            <b/>
            <sz val="9"/>
            <color indexed="81"/>
            <rFont val="Tahoma"/>
            <family val="2"/>
            <charset val="204"/>
          </rPr>
          <t>Илья:</t>
        </r>
        <r>
          <rPr>
            <sz val="9"/>
            <color indexed="81"/>
            <rFont val="Tahoma"/>
            <family val="2"/>
            <charset val="204"/>
          </rPr>
          <t xml:space="preserve">
Если место проведение - населённые пункты Ярославской области, то указать площадку. Пример:
г. Ярославль, ГАУК ЯО "Ярославская Государственная Филармония".
Если другой регион, то указать только населённый пункт. Пример:
Вологодская область, г. Череповец.</t>
        </r>
      </text>
    </comment>
    <comment ref="F3" authorId="0">
      <text>
        <r>
          <rPr>
            <b/>
            <sz val="9"/>
            <color indexed="81"/>
            <rFont val="Tahoma"/>
            <family val="2"/>
            <charset val="204"/>
          </rPr>
          <t>Илья:</t>
        </r>
        <r>
          <rPr>
            <sz val="9"/>
            <color indexed="81"/>
            <rFont val="Tahoma"/>
            <family val="2"/>
            <charset val="204"/>
          </rPr>
          <t xml:space="preserve">
Полные ФИО обучающегося. У коллективов указывается только название и в скобках - количество человек. Пример: Ансамбль "Бабочка" (7 чел.).</t>
        </r>
      </text>
    </comment>
    <comment ref="G3" authorId="0">
      <text>
        <r>
          <rPr>
            <b/>
            <sz val="9"/>
            <color indexed="81"/>
            <rFont val="Tahoma"/>
            <family val="2"/>
            <charset val="204"/>
          </rPr>
          <t>Илья:</t>
        </r>
        <r>
          <rPr>
            <sz val="9"/>
            <color indexed="81"/>
            <rFont val="Tahoma"/>
            <family val="2"/>
            <charset val="204"/>
          </rPr>
          <t xml:space="preserve">
Точные данные по наградным документам.
Гран-При - это Гран-При.
Диплом (лауреата) I степени - это победитель, 1 место.
Диплом (лауреата) II степени - призёр, 2 место.
Диплом (лауреата) III степени - призёр, 3 место.
Дипломант - 4 место.
Специальная награда - приз зрительских симпатий, приз за лучшее исполнение и т.д.
Информацию по участникам, выдавшим свидетельство или диплом за участие, указывать не нужно.</t>
        </r>
      </text>
    </comment>
    <comment ref="H3" authorId="0">
      <text>
        <r>
          <rPr>
            <b/>
            <sz val="9"/>
            <color indexed="81"/>
            <rFont val="Tahoma"/>
            <family val="2"/>
            <charset val="204"/>
          </rPr>
          <t>Илья:</t>
        </r>
        <r>
          <rPr>
            <sz val="9"/>
            <color indexed="81"/>
            <rFont val="Tahoma"/>
            <family val="2"/>
            <charset val="204"/>
          </rPr>
          <t xml:space="preserve">
Полные ФИО преподавателя.</t>
        </r>
      </text>
    </comment>
  </commentList>
</comments>
</file>

<file path=xl/comments12.xml><?xml version="1.0" encoding="utf-8"?>
<comments xmlns="http://schemas.openxmlformats.org/spreadsheetml/2006/main">
  <authors>
    <author>Илья</author>
  </authors>
  <commentList>
    <comment ref="A3" authorId="0">
      <text>
        <r>
          <rPr>
            <b/>
            <sz val="9"/>
            <color indexed="81"/>
            <rFont val="Tahoma"/>
            <family val="2"/>
            <charset val="204"/>
          </rPr>
          <t>Илья:</t>
        </r>
        <r>
          <rPr>
            <sz val="9"/>
            <color indexed="81"/>
            <rFont val="Tahoma"/>
            <family val="2"/>
            <charset val="204"/>
          </rPr>
          <t xml:space="preserve">
К профессиональным творческим мероприятиям относятся конкурсы, фестивали, выставки, олимпиады, учредителем и/или организатором которых является Министерство культуры Российской Федерации, иные государственные организации культуры Российской Федерации, имеющие профессиональную направленность, органы управления культурой субъектов Российской Федерации и подведомственные им детские школы искусств, образовательными организациями среднего и высшего образования отрасли культуры.</t>
        </r>
      </text>
    </comment>
    <comment ref="B3" authorId="0">
      <text>
        <r>
          <rPr>
            <b/>
            <sz val="9"/>
            <color indexed="81"/>
            <rFont val="Tahoma"/>
            <family val="2"/>
            <charset val="204"/>
          </rPr>
          <t>Илья:</t>
        </r>
        <r>
          <rPr>
            <sz val="9"/>
            <color indexed="81"/>
            <rFont val="Tahoma"/>
            <family val="2"/>
            <charset val="204"/>
          </rPr>
          <t xml:space="preserve">
Полное официальное название мероприятия, согласно положению.</t>
        </r>
      </text>
    </comment>
    <comment ref="D3" authorId="0">
      <text>
        <r>
          <rPr>
            <b/>
            <sz val="9"/>
            <color indexed="81"/>
            <rFont val="Tahoma"/>
            <family val="2"/>
            <charset val="204"/>
          </rPr>
          <t>Илья:</t>
        </r>
        <r>
          <rPr>
            <sz val="9"/>
            <color indexed="81"/>
            <rFont val="Tahoma"/>
            <family val="2"/>
            <charset val="204"/>
          </rPr>
          <t xml:space="preserve">
Если место проведение - населённые пункты Ярославской области, то указать площадку. Пример:
г. Ярославль, ГАУК ЯО "Ярославская Государственная Филармония".
Если другой регион, то указать только населённый пункт. Пример:
Вологодская область, г. Череповец.</t>
        </r>
      </text>
    </comment>
    <comment ref="F3" authorId="0">
      <text>
        <r>
          <rPr>
            <b/>
            <sz val="9"/>
            <color indexed="81"/>
            <rFont val="Tahoma"/>
            <family val="2"/>
            <charset val="204"/>
          </rPr>
          <t>Илья:</t>
        </r>
        <r>
          <rPr>
            <sz val="9"/>
            <color indexed="81"/>
            <rFont val="Tahoma"/>
            <family val="2"/>
            <charset val="204"/>
          </rPr>
          <t xml:space="preserve">
Полные ФИО обучающегося. У коллективов указывается только название, и в скобках - количество человек. Пример: Ансамбль "Бабочка" (7 чел.).</t>
        </r>
      </text>
    </comment>
    <comment ref="G3" authorId="0">
      <text>
        <r>
          <rPr>
            <b/>
            <sz val="9"/>
            <color indexed="81"/>
            <rFont val="Tahoma"/>
            <family val="2"/>
            <charset val="204"/>
          </rPr>
          <t>Илья:</t>
        </r>
        <r>
          <rPr>
            <sz val="9"/>
            <color indexed="81"/>
            <rFont val="Tahoma"/>
            <family val="2"/>
            <charset val="204"/>
          </rPr>
          <t xml:space="preserve">
Точные данные по наградным документам.</t>
        </r>
      </text>
    </comment>
    <comment ref="H3" authorId="0">
      <text>
        <r>
          <rPr>
            <b/>
            <sz val="9"/>
            <color indexed="81"/>
            <rFont val="Tahoma"/>
            <family val="2"/>
            <charset val="204"/>
          </rPr>
          <t>Илья:</t>
        </r>
        <r>
          <rPr>
            <sz val="9"/>
            <color indexed="81"/>
            <rFont val="Tahoma"/>
            <family val="2"/>
            <charset val="204"/>
          </rPr>
          <t xml:space="preserve">
Полные ФИО преподавателя.</t>
        </r>
      </text>
    </comment>
  </commentList>
</comments>
</file>

<file path=xl/comments13.xml><?xml version="1.0" encoding="utf-8"?>
<comments xmlns="http://schemas.openxmlformats.org/spreadsheetml/2006/main">
  <authors>
    <author>Илья</author>
  </authors>
  <commentList>
    <comment ref="A3" authorId="0">
      <text>
        <r>
          <rPr>
            <b/>
            <sz val="9"/>
            <color indexed="81"/>
            <rFont val="Tahoma"/>
            <family val="2"/>
            <charset val="204"/>
          </rPr>
          <t>Илья:</t>
        </r>
        <r>
          <rPr>
            <sz val="9"/>
            <color indexed="81"/>
            <rFont val="Tahoma"/>
            <family val="2"/>
            <charset val="204"/>
          </rPr>
          <t xml:space="preserve">
К профессиональным творческим мероприятиям относятся конкурсы, фестивали, выставки, олимпиады, учредителем и/или организатором которых является Министерство культуры Российской Федерации, иные государственные организации культуры Российской Федерации, имеющие профессиональную направленность, органы управления культурой субъектов Российской Федерации и подведомственные им детские школы искусств, образовательными организациями среднего и высшего образования отрасли культуры.</t>
        </r>
      </text>
    </comment>
    <comment ref="B3" authorId="0">
      <text>
        <r>
          <rPr>
            <b/>
            <sz val="9"/>
            <color indexed="81"/>
            <rFont val="Tahoma"/>
            <family val="2"/>
            <charset val="204"/>
          </rPr>
          <t>Илья:</t>
        </r>
        <r>
          <rPr>
            <sz val="9"/>
            <color indexed="81"/>
            <rFont val="Tahoma"/>
            <family val="2"/>
            <charset val="204"/>
          </rPr>
          <t xml:space="preserve">
Полное официальное название мероприятия, согласно положению.</t>
        </r>
      </text>
    </comment>
    <comment ref="D3" authorId="0">
      <text>
        <r>
          <rPr>
            <b/>
            <sz val="9"/>
            <color indexed="81"/>
            <rFont val="Tahoma"/>
            <family val="2"/>
            <charset val="204"/>
          </rPr>
          <t>Илья:</t>
        </r>
        <r>
          <rPr>
            <sz val="9"/>
            <color indexed="81"/>
            <rFont val="Tahoma"/>
            <family val="2"/>
            <charset val="204"/>
          </rPr>
          <t xml:space="preserve">
Если место проведение - населённые пункты Ярославской области, то указать площадку. Пример:
г. Ярославль, ГАУК ЯО "Ярославская Государственная Филармония".
Если другой регион, то указать только населённый пункт.
Если другая страна - то указать страну и город.</t>
        </r>
      </text>
    </comment>
    <comment ref="F3" authorId="0">
      <text>
        <r>
          <rPr>
            <b/>
            <sz val="9"/>
            <color indexed="81"/>
            <rFont val="Tahoma"/>
            <family val="2"/>
            <charset val="204"/>
          </rPr>
          <t>Илья:</t>
        </r>
        <r>
          <rPr>
            <sz val="9"/>
            <color indexed="81"/>
            <rFont val="Tahoma"/>
            <family val="2"/>
            <charset val="204"/>
          </rPr>
          <t xml:space="preserve">
Полные ФИО обучающегося. У коллективов указывается только название, и в скобках - количество человек. Пример: Ансамбль "Бабочка" (7 чел.).</t>
        </r>
      </text>
    </comment>
    <comment ref="G3" authorId="0">
      <text>
        <r>
          <rPr>
            <b/>
            <sz val="9"/>
            <color indexed="81"/>
            <rFont val="Tahoma"/>
            <family val="2"/>
            <charset val="204"/>
          </rPr>
          <t>Илья:</t>
        </r>
        <r>
          <rPr>
            <sz val="9"/>
            <color indexed="81"/>
            <rFont val="Tahoma"/>
            <family val="2"/>
            <charset val="204"/>
          </rPr>
          <t xml:space="preserve">
Точные данные по наградным документам.
Гран-При - это Гран-При.
Диплом (лауреата) I степени - это победитель, 1 место.
Диплом (лауреата) II степени - призёр, 2 место.
Диплом (лауреата) III степени - призёр, 3 место.
Дипломант - 4 место.
Специальная награда - приз зрительских симпатий, приз за лучшее исполнение и т.д.
Информацию по участникам, выдавшим свидетельство или диплом за участие, указывать не нужно.</t>
        </r>
      </text>
    </comment>
    <comment ref="H3" authorId="0">
      <text>
        <r>
          <rPr>
            <b/>
            <sz val="9"/>
            <color indexed="81"/>
            <rFont val="Tahoma"/>
            <family val="2"/>
            <charset val="204"/>
          </rPr>
          <t>Илья:</t>
        </r>
        <r>
          <rPr>
            <sz val="9"/>
            <color indexed="81"/>
            <rFont val="Tahoma"/>
            <family val="2"/>
            <charset val="204"/>
          </rPr>
          <t xml:space="preserve">
Полные ФИО преподавателя.</t>
        </r>
      </text>
    </comment>
  </commentList>
</comments>
</file>

<file path=xl/comments14.xml><?xml version="1.0" encoding="utf-8"?>
<comments xmlns="http://schemas.openxmlformats.org/spreadsheetml/2006/main">
  <authors>
    <author>Илья</author>
  </authors>
  <commentList>
    <comment ref="B3" authorId="0">
      <text>
        <r>
          <rPr>
            <b/>
            <sz val="9"/>
            <color indexed="81"/>
            <rFont val="Tahoma"/>
            <family val="2"/>
            <charset val="204"/>
          </rPr>
          <t>Илья:</t>
        </r>
        <r>
          <rPr>
            <sz val="9"/>
            <color indexed="81"/>
            <rFont val="Tahoma"/>
            <family val="2"/>
            <charset val="204"/>
          </rPr>
          <t xml:space="preserve">
Полное официальное название мероприятия, согласно положению.</t>
        </r>
      </text>
    </comment>
    <comment ref="D3" authorId="0">
      <text>
        <r>
          <rPr>
            <b/>
            <sz val="9"/>
            <color indexed="81"/>
            <rFont val="Tahoma"/>
            <family val="2"/>
            <charset val="204"/>
          </rPr>
          <t>Илья:</t>
        </r>
        <r>
          <rPr>
            <sz val="9"/>
            <color indexed="81"/>
            <rFont val="Tahoma"/>
            <family val="2"/>
            <charset val="204"/>
          </rPr>
          <t xml:space="preserve">
Указать населённый пункт и площадку проведения мероприятия. Пример:
г. Ярославль, ГАУК ЯО "Ярославская Государственная Филармония".</t>
        </r>
      </text>
    </comment>
    <comment ref="F3" authorId="0">
      <text>
        <r>
          <rPr>
            <b/>
            <sz val="9"/>
            <color indexed="81"/>
            <rFont val="Tahoma"/>
            <family val="2"/>
            <charset val="204"/>
          </rPr>
          <t>Илья:</t>
        </r>
        <r>
          <rPr>
            <sz val="9"/>
            <color indexed="81"/>
            <rFont val="Tahoma"/>
            <family val="2"/>
            <charset val="204"/>
          </rPr>
          <t xml:space="preserve">
Полные ФИО обучающегося. У коллективов указывается только название, и в скобках - количество человек. Пример: Ансамбль "Бабочка" (7 чел.).</t>
        </r>
      </text>
    </comment>
    <comment ref="G3" authorId="0">
      <text>
        <r>
          <rPr>
            <b/>
            <sz val="9"/>
            <color indexed="81"/>
            <rFont val="Tahoma"/>
            <family val="2"/>
            <charset val="204"/>
          </rPr>
          <t>Илья:</t>
        </r>
        <r>
          <rPr>
            <sz val="9"/>
            <color indexed="81"/>
            <rFont val="Tahoma"/>
            <family val="2"/>
            <charset val="204"/>
          </rPr>
          <t xml:space="preserve">
Точные данные по наградным документам.
Гран-При - это Гран-При.
Диплом (лауреата) I степени - это победитель, 1 место.
Диплом (лауреата) II степени - призёр, 2 место.
Диплом (лауреата) III степени - призёр, 3 место.
Дипломант - 4 место.
Специальная награда - приз зрительских симпатий, приз за лучшее исполнение и т.д.
Информацию по участникам, выдавшим свидетельство или диплом за участие, указывать не нужно.</t>
        </r>
      </text>
    </comment>
    <comment ref="H3" authorId="0">
      <text>
        <r>
          <rPr>
            <b/>
            <sz val="9"/>
            <color indexed="81"/>
            <rFont val="Tahoma"/>
            <family val="2"/>
            <charset val="204"/>
          </rPr>
          <t>Илья:</t>
        </r>
        <r>
          <rPr>
            <sz val="9"/>
            <color indexed="81"/>
            <rFont val="Tahoma"/>
            <family val="2"/>
            <charset val="204"/>
          </rPr>
          <t xml:space="preserve">
Полные ФИО преподавателя.</t>
        </r>
      </text>
    </comment>
  </commentList>
</comments>
</file>

<file path=xl/comments15.xml><?xml version="1.0" encoding="utf-8"?>
<comments xmlns="http://schemas.openxmlformats.org/spreadsheetml/2006/main">
  <authors>
    <author>Илья</author>
  </authors>
  <commentList>
    <comment ref="A3" authorId="0">
      <text>
        <r>
          <rPr>
            <b/>
            <sz val="9"/>
            <color indexed="81"/>
            <rFont val="Tahoma"/>
            <family val="2"/>
            <charset val="204"/>
          </rPr>
          <t>Илья:</t>
        </r>
        <r>
          <rPr>
            <sz val="9"/>
            <color indexed="81"/>
            <rFont val="Tahoma"/>
            <family val="2"/>
            <charset val="204"/>
          </rPr>
          <t xml:space="preserve">
Указываются мероприятия, имеющие областной и выше статус, или претендующие на него).</t>
        </r>
      </text>
    </comment>
    <comment ref="B3" authorId="0">
      <text>
        <r>
          <rPr>
            <b/>
            <sz val="9"/>
            <color indexed="81"/>
            <rFont val="Tahoma"/>
            <family val="2"/>
            <charset val="204"/>
          </rPr>
          <t>Илья:</t>
        </r>
        <r>
          <rPr>
            <sz val="9"/>
            <color indexed="81"/>
            <rFont val="Tahoma"/>
            <family val="2"/>
            <charset val="204"/>
          </rPr>
          <t xml:space="preserve">
Указывается полное наименование мероприятия (в соответствии с регламентирующим документом).</t>
        </r>
      </text>
    </comment>
    <comment ref="D3" authorId="0">
      <text>
        <r>
          <rPr>
            <b/>
            <sz val="9"/>
            <color indexed="81"/>
            <rFont val="Tahoma"/>
            <family val="2"/>
            <charset val="204"/>
          </rPr>
          <t>Илья:</t>
        </r>
        <r>
          <rPr>
            <sz val="9"/>
            <color indexed="81"/>
            <rFont val="Tahoma"/>
            <family val="2"/>
            <charset val="204"/>
          </rPr>
          <t xml:space="preserve">
Указывается только форма регламентирующего документа: положение, программа (семинара, конференции) и т.п., а сам документ прилагается к отчёту в печатной форме.</t>
        </r>
      </text>
    </comment>
    <comment ref="E3" authorId="0">
      <text>
        <r>
          <rPr>
            <b/>
            <sz val="9"/>
            <color indexed="81"/>
            <rFont val="Tahoma"/>
            <family val="2"/>
            <charset val="204"/>
          </rPr>
          <t>Илья:</t>
        </r>
        <r>
          <rPr>
            <sz val="9"/>
            <color indexed="81"/>
            <rFont val="Tahoma"/>
            <family val="2"/>
            <charset val="204"/>
          </rPr>
          <t xml:space="preserve">
Указываются такие формы, как конкурс, семинар, конференция, творческая лаборатория и др. (в соответствии с регламентирующим документом).</t>
        </r>
      </text>
    </comment>
    <comment ref="F3" authorId="0">
      <text>
        <r>
          <rPr>
            <b/>
            <sz val="9"/>
            <color indexed="81"/>
            <rFont val="Tahoma"/>
            <family val="2"/>
            <charset val="204"/>
          </rPr>
          <t>Илья:</t>
        </r>
        <r>
          <rPr>
            <sz val="9"/>
            <color indexed="81"/>
            <rFont val="Tahoma"/>
            <family val="2"/>
            <charset val="204"/>
          </rPr>
          <t xml:space="preserve">
Указывается целевая аудитория мероприятия (преподаватели, обучающиеся и пр.).</t>
        </r>
      </text>
    </comment>
    <comment ref="H3" authorId="0">
      <text>
        <r>
          <rPr>
            <b/>
            <sz val="9"/>
            <color indexed="81"/>
            <rFont val="Tahoma"/>
            <family val="2"/>
            <charset val="204"/>
          </rPr>
          <t>Илья:</t>
        </r>
        <r>
          <rPr>
            <sz val="9"/>
            <color indexed="81"/>
            <rFont val="Tahoma"/>
            <family val="2"/>
            <charset val="204"/>
          </rPr>
          <t xml:space="preserve">
Указывается либо ваше образовательное учреждение, либо иные площадки, на которых будет проводиться мероприятие.</t>
        </r>
      </text>
    </comment>
    <comment ref="I3" authorId="0">
      <text>
        <r>
          <rPr>
            <b/>
            <sz val="9"/>
            <color indexed="81"/>
            <rFont val="Tahoma"/>
            <family val="2"/>
            <charset val="204"/>
          </rPr>
          <t>Илья:</t>
        </r>
        <r>
          <rPr>
            <sz val="9"/>
            <color indexed="81"/>
            <rFont val="Tahoma"/>
            <family val="2"/>
            <charset val="204"/>
          </rPr>
          <t xml:space="preserve">
Указываются планируемые количественные показатели (например, количество участников семинара, лауреатов конкурса и т.п.).</t>
        </r>
      </text>
    </comment>
    <comment ref="J3" authorId="0">
      <text>
        <r>
          <rPr>
            <b/>
            <sz val="9"/>
            <color indexed="81"/>
            <rFont val="Tahoma"/>
            <family val="2"/>
            <charset val="204"/>
          </rPr>
          <t>Илья:</t>
        </r>
        <r>
          <rPr>
            <sz val="9"/>
            <color indexed="81"/>
            <rFont val="Tahoma"/>
            <family val="2"/>
            <charset val="204"/>
          </rPr>
          <t xml:space="preserve">
Указывается наименование целевой программы, в рамках которой осуществляется финансирование и реализация мероприятия (только если заявленное мероприятие имеет такой статус) и т.п.</t>
        </r>
      </text>
    </comment>
  </commentList>
</comments>
</file>

<file path=xl/comments2.xml><?xml version="1.0" encoding="utf-8"?>
<comments xmlns="http://schemas.openxmlformats.org/spreadsheetml/2006/main">
  <authors>
    <author>Илья</author>
  </authors>
  <commentList>
    <comment ref="A6" authorId="0">
      <text>
        <r>
          <rPr>
            <b/>
            <sz val="9"/>
            <color indexed="81"/>
            <rFont val="Tahoma"/>
            <family val="2"/>
            <charset val="204"/>
          </rPr>
          <t>Илья:</t>
        </r>
        <r>
          <rPr>
            <sz val="9"/>
            <color indexed="81"/>
            <rFont val="Tahoma"/>
            <family val="2"/>
            <charset val="204"/>
          </rPr>
          <t xml:space="preserve">
Данная графа необходима для расчёта сохранности контингента согласно "Дорожной карте". Здесь указываются все обучающиеся, поступавшие по той или иной программе за период, соответствующий сроку освоения программы (например, 5 лет), которые были отчислены, но могли бы выпуститься в 2021 году.</t>
        </r>
      </text>
    </comment>
  </commentList>
</comments>
</file>

<file path=xl/comments3.xml><?xml version="1.0" encoding="utf-8"?>
<comments xmlns="http://schemas.openxmlformats.org/spreadsheetml/2006/main">
  <authors>
    <author>Илья</author>
  </authors>
  <commentList>
    <comment ref="D3" authorId="0">
      <text>
        <r>
          <rPr>
            <b/>
            <sz val="9"/>
            <color indexed="81"/>
            <rFont val="Tahoma"/>
            <family val="2"/>
            <charset val="204"/>
          </rPr>
          <t>Илья:</t>
        </r>
        <r>
          <rPr>
            <sz val="9"/>
            <color indexed="81"/>
            <rFont val="Tahoma"/>
            <family val="2"/>
            <charset val="204"/>
          </rPr>
          <t xml:space="preserve">
Указать только руководителей и их заместителей на момент заполнения.</t>
        </r>
      </text>
    </comment>
    <comment ref="C5" authorId="0">
      <text>
        <r>
          <rPr>
            <b/>
            <sz val="9"/>
            <color indexed="81"/>
            <rFont val="Tahoma"/>
            <family val="2"/>
            <charset val="204"/>
          </rPr>
          <t>Илья:</t>
        </r>
        <r>
          <rPr>
            <sz val="9"/>
            <color indexed="81"/>
            <rFont val="Tahoma"/>
            <family val="2"/>
            <charset val="204"/>
          </rPr>
          <t xml:space="preserve">
Дата рождения в формате "день.месяц.год".</t>
        </r>
      </text>
    </comment>
  </commentList>
</comments>
</file>

<file path=xl/comments4.xml><?xml version="1.0" encoding="utf-8"?>
<comments xmlns="http://schemas.openxmlformats.org/spreadsheetml/2006/main">
  <authors>
    <author>Илья</author>
  </authors>
  <commentList>
    <comment ref="D3" authorId="0">
      <text>
        <r>
          <rPr>
            <b/>
            <sz val="9"/>
            <color indexed="81"/>
            <rFont val="Tahoma"/>
            <family val="2"/>
            <charset val="204"/>
          </rPr>
          <t>Илья:</t>
        </r>
        <r>
          <rPr>
            <sz val="9"/>
            <color indexed="81"/>
            <rFont val="Tahoma"/>
            <family val="2"/>
            <charset val="204"/>
          </rPr>
          <t xml:space="preserve">
Указать только преподавателей (не методистов и концертмейстеров), работающих на условиях полной и частичной занятости, включая работающих на условиях внешнего совместительства на момент заполнения. Если преподаватель обучает по нескольким предметам, то в графе "Преподаваемый предмет / дисциплина" через точку с запятой перечислить предметы, которые он преподаёт, вначале указав основной предмет. Если преподаватель одновременно является концертмейстером, то в данной таблице указать его здесь как преподавателя, в следующей - как концертмейстера. Если директор или заместитель директора преподаёт предмет, то указать его в данной таблице как преподавателя.</t>
        </r>
      </text>
    </comment>
    <comment ref="B5" authorId="0">
      <text>
        <r>
          <rPr>
            <b/>
            <sz val="9"/>
            <color indexed="81"/>
            <rFont val="Tahoma"/>
            <family val="2"/>
            <charset val="204"/>
          </rPr>
          <t>Илья:</t>
        </r>
        <r>
          <rPr>
            <sz val="9"/>
            <color indexed="81"/>
            <rFont val="Tahoma"/>
            <family val="2"/>
            <charset val="204"/>
          </rPr>
          <t xml:space="preserve">
Если преподаватель больше не работает, то выделите ячейку с ФИО красным цветом, если преподаватель является штатным согласно своей должности, то зелёным, внешних совместителей - любым другим цветом (кроме белого).
Новых преподавателей допишите в конце списка.
При необходимости отсортировать преподавателей по фамилии / дате рождения / возрасту / стажу / дате начала работы в учреждении / категории - позвоните, или напишите в следующей ячейке за списком. Потом верну аналитику с отсортированным списком преподавателей.</t>
        </r>
      </text>
    </comment>
    <comment ref="C5" authorId="0">
      <text>
        <r>
          <rPr>
            <b/>
            <sz val="9"/>
            <color indexed="81"/>
            <rFont val="Tahoma"/>
            <family val="2"/>
            <charset val="204"/>
          </rPr>
          <t>Илья:</t>
        </r>
        <r>
          <rPr>
            <sz val="9"/>
            <color indexed="81"/>
            <rFont val="Tahoma"/>
            <family val="2"/>
            <charset val="204"/>
          </rPr>
          <t xml:space="preserve">
Дата рождения в формате "день.месяц.год".</t>
        </r>
      </text>
    </comment>
    <comment ref="F5" authorId="0">
      <text>
        <r>
          <rPr>
            <b/>
            <sz val="9"/>
            <color indexed="81"/>
            <rFont val="Tahoma"/>
            <family val="2"/>
            <charset val="204"/>
          </rPr>
          <t>Илья:</t>
        </r>
        <r>
          <rPr>
            <sz val="9"/>
            <color indexed="81"/>
            <rFont val="Tahoma"/>
            <family val="2"/>
            <charset val="204"/>
          </rPr>
          <t xml:space="preserve">
Не обязательно в данной должности. Указывается дата в формате "день.месяц.год".</t>
        </r>
      </text>
    </comment>
  </commentList>
</comments>
</file>

<file path=xl/comments5.xml><?xml version="1.0" encoding="utf-8"?>
<comments xmlns="http://schemas.openxmlformats.org/spreadsheetml/2006/main">
  <authors>
    <author>Илья</author>
  </authors>
  <commentList>
    <comment ref="D3" authorId="0">
      <text>
        <r>
          <rPr>
            <b/>
            <sz val="9"/>
            <color indexed="81"/>
            <rFont val="Tahoma"/>
            <family val="2"/>
            <charset val="204"/>
          </rPr>
          <t>Илья:</t>
        </r>
        <r>
          <rPr>
            <sz val="9"/>
            <color indexed="81"/>
            <rFont val="Tahoma"/>
            <family val="2"/>
            <charset val="204"/>
          </rPr>
          <t xml:space="preserve">
Указать только концертмейстеров (не методистов и преподавателей). Аналогично с предыдущей таблицей.</t>
        </r>
      </text>
    </comment>
    <comment ref="C5" authorId="0">
      <text>
        <r>
          <rPr>
            <b/>
            <sz val="9"/>
            <color indexed="81"/>
            <rFont val="Tahoma"/>
            <family val="2"/>
            <charset val="204"/>
          </rPr>
          <t>Илья:</t>
        </r>
        <r>
          <rPr>
            <sz val="9"/>
            <color indexed="81"/>
            <rFont val="Tahoma"/>
            <family val="2"/>
            <charset val="204"/>
          </rPr>
          <t xml:space="preserve">
Дата рождения в формате "день.месяц.год".</t>
        </r>
      </text>
    </comment>
    <comment ref="F5" authorId="0">
      <text>
        <r>
          <rPr>
            <b/>
            <sz val="9"/>
            <color indexed="81"/>
            <rFont val="Tahoma"/>
            <family val="2"/>
            <charset val="204"/>
          </rPr>
          <t>Илья:</t>
        </r>
        <r>
          <rPr>
            <sz val="9"/>
            <color indexed="81"/>
            <rFont val="Tahoma"/>
            <family val="2"/>
            <charset val="204"/>
          </rPr>
          <t xml:space="preserve">
Не обязательно в данной должности. Указывается дата в формате "день.месяц.год".</t>
        </r>
      </text>
    </comment>
  </commentList>
</comments>
</file>

<file path=xl/comments6.xml><?xml version="1.0" encoding="utf-8"?>
<comments xmlns="http://schemas.openxmlformats.org/spreadsheetml/2006/main">
  <authors>
    <author>Илья</author>
  </authors>
  <commentList>
    <comment ref="D3" authorId="0">
      <text>
        <r>
          <rPr>
            <b/>
            <sz val="9"/>
            <color indexed="81"/>
            <rFont val="Tahoma"/>
            <family val="2"/>
            <charset val="204"/>
          </rPr>
          <t>Илья:</t>
        </r>
        <r>
          <rPr>
            <sz val="9"/>
            <color indexed="81"/>
            <rFont val="Tahoma"/>
            <family val="2"/>
            <charset val="204"/>
          </rPr>
          <t xml:space="preserve">
Указать только методистов (не преподавателей и концертмейстеров) на момент заполнения. Аналогично предыдущим таблицам.</t>
        </r>
      </text>
    </comment>
    <comment ref="C5" authorId="0">
      <text>
        <r>
          <rPr>
            <b/>
            <sz val="9"/>
            <color indexed="81"/>
            <rFont val="Tahoma"/>
            <family val="2"/>
            <charset val="204"/>
          </rPr>
          <t>Илья:</t>
        </r>
        <r>
          <rPr>
            <sz val="9"/>
            <color indexed="81"/>
            <rFont val="Tahoma"/>
            <family val="2"/>
            <charset val="204"/>
          </rPr>
          <t xml:space="preserve">
Дата рождения в формате "день.месяц.год".</t>
        </r>
      </text>
    </comment>
  </commentList>
</comments>
</file>

<file path=xl/comments7.xml><?xml version="1.0" encoding="utf-8"?>
<comments xmlns="http://schemas.openxmlformats.org/spreadsheetml/2006/main">
  <authors>
    <author>Илья</author>
  </authors>
  <commentList>
    <comment ref="H4" authorId="0">
      <text>
        <r>
          <rPr>
            <b/>
            <sz val="9"/>
            <color indexed="81"/>
            <rFont val="Tahoma"/>
            <family val="2"/>
            <charset val="204"/>
          </rPr>
          <t>Илья:</t>
        </r>
        <r>
          <rPr>
            <sz val="9"/>
            <color indexed="81"/>
            <rFont val="Tahoma"/>
            <family val="2"/>
            <charset val="204"/>
          </rPr>
          <t xml:space="preserve">
Спонсорские и т.д.</t>
        </r>
      </text>
    </comment>
    <comment ref="H14" authorId="0">
      <text>
        <r>
          <rPr>
            <b/>
            <sz val="9"/>
            <color indexed="81"/>
            <rFont val="Tahoma"/>
            <family val="2"/>
            <charset val="204"/>
          </rPr>
          <t>Илья:</t>
        </r>
        <r>
          <rPr>
            <sz val="9"/>
            <color indexed="81"/>
            <rFont val="Tahoma"/>
            <family val="2"/>
            <charset val="204"/>
          </rPr>
          <t xml:space="preserve">
Спонсорские и т.д.</t>
        </r>
      </text>
    </comment>
  </commentList>
</comments>
</file>

<file path=xl/comments8.xml><?xml version="1.0" encoding="utf-8"?>
<comments xmlns="http://schemas.openxmlformats.org/spreadsheetml/2006/main">
  <authors>
    <author>Илья</author>
  </authors>
  <commentList>
    <comment ref="B3" authorId="0">
      <text>
        <r>
          <rPr>
            <b/>
            <sz val="9"/>
            <color indexed="81"/>
            <rFont val="Tahoma"/>
            <family val="2"/>
            <charset val="204"/>
          </rPr>
          <t>Илья:</t>
        </r>
        <r>
          <rPr>
            <sz val="9"/>
            <color indexed="81"/>
            <rFont val="Tahoma"/>
            <family val="2"/>
            <charset val="204"/>
          </rPr>
          <t xml:space="preserve">
Под публикациями можно понимать анонсы мероприятий, информацию об итогах, победителях, ключевых моментах. За отчётный учебный год.</t>
        </r>
      </text>
    </comment>
  </commentList>
</comments>
</file>

<file path=xl/comments9.xml><?xml version="1.0" encoding="utf-8"?>
<comments xmlns="http://schemas.openxmlformats.org/spreadsheetml/2006/main">
  <authors>
    <author>Илья</author>
  </authors>
  <commentList>
    <comment ref="B3" authorId="0">
      <text>
        <r>
          <rPr>
            <b/>
            <sz val="9"/>
            <color indexed="81"/>
            <rFont val="Tahoma"/>
            <family val="2"/>
            <charset val="204"/>
          </rPr>
          <t>Илья:</t>
        </r>
        <r>
          <rPr>
            <sz val="9"/>
            <color indexed="81"/>
            <rFont val="Tahoma"/>
            <family val="2"/>
            <charset val="204"/>
          </rPr>
          <t xml:space="preserve">
За отчётный учебный год.</t>
        </r>
      </text>
    </comment>
  </commentList>
</comments>
</file>

<file path=xl/sharedStrings.xml><?xml version="1.0" encoding="utf-8"?>
<sst xmlns="http://schemas.openxmlformats.org/spreadsheetml/2006/main" count="1262" uniqueCount="566">
  <si>
    <t>Всего</t>
  </si>
  <si>
    <t>Специальность</t>
  </si>
  <si>
    <t>Место поступления</t>
  </si>
  <si>
    <t>№</t>
  </si>
  <si>
    <t>Общее количество адаптированных образовательных программ</t>
  </si>
  <si>
    <t>Категория детей с ОВЗ, в том числе инвалиды</t>
  </si>
  <si>
    <t>по слуху</t>
  </si>
  <si>
    <t>по зрению</t>
  </si>
  <si>
    <t>с тяжёлыми нарушениями речи</t>
  </si>
  <si>
    <t>с нарушениями опорно-двигательного аппарата</t>
  </si>
  <si>
    <t>с задержкой психического развития</t>
  </si>
  <si>
    <t>с умственной отсталостью</t>
  </si>
  <si>
    <t>с расстройствами аутистического характера</t>
  </si>
  <si>
    <t>со сложными дефектами</t>
  </si>
  <si>
    <t>с другими ОВЗ</t>
  </si>
  <si>
    <t>Из них (гр. 2) реализуемых</t>
  </si>
  <si>
    <t>Доля преподавателей, прошедших обучение по программам повышения квалификации или переподготовки, направленным на работу с инвалидами и лицами с ОВЗ (чел.)</t>
  </si>
  <si>
    <t>чел.</t>
  </si>
  <si>
    <t>%</t>
  </si>
  <si>
    <t>Наименование адаптированной программы</t>
  </si>
  <si>
    <t>Вид программы</t>
  </si>
  <si>
    <t>Срок реализации</t>
  </si>
  <si>
    <t>Количество преподавателей:</t>
  </si>
  <si>
    <t>№ п/п</t>
  </si>
  <si>
    <t>ФИО полностью</t>
  </si>
  <si>
    <t>Дата рождения</t>
  </si>
  <si>
    <t>Дата начала работы в данном учреждении</t>
  </si>
  <si>
    <t>Категория</t>
  </si>
  <si>
    <t>Наличие гос. награды, почётного звания, отраслевой награды, даты присвоения</t>
  </si>
  <si>
    <t>Преподаваемый предмет / дисциплина</t>
  </si>
  <si>
    <t>Количество концертмейстеров:</t>
  </si>
  <si>
    <t>Количество руководителей:</t>
  </si>
  <si>
    <t>Должность</t>
  </si>
  <si>
    <t>Наименование отремонтированного объекта</t>
  </si>
  <si>
    <t>Вид ремонта</t>
  </si>
  <si>
    <t>Объём затраченных средств (всего)</t>
  </si>
  <si>
    <t>Из них по источникам финансирования</t>
  </si>
  <si>
    <t>областной бюджет
(тыс. руб.)</t>
  </si>
  <si>
    <t>муниципальный бюджет
(тыс. руб.)</t>
  </si>
  <si>
    <t>внебюджетные средства
(тыс. руб.)</t>
  </si>
  <si>
    <t>Количество единиц</t>
  </si>
  <si>
    <t>Название инструмента (производитель)</t>
  </si>
  <si>
    <t>Наименование музыкального инструмента</t>
  </si>
  <si>
    <t>используемые в учебном процессе</t>
  </si>
  <si>
    <t>неиспользуемые в учебном процессе</t>
  </si>
  <si>
    <t>Количество устаревших и подлежащих списанию музыкальных инструментов (кол-во единиц)</t>
  </si>
  <si>
    <t>Доля устаревших и подлежащих списанию музыкальных инструментов (%)</t>
  </si>
  <si>
    <t>Общее количество музыкальных инструментов
(кол-во единиц)</t>
  </si>
  <si>
    <t>рояль</t>
  </si>
  <si>
    <t>пианино</t>
  </si>
  <si>
    <t>скрипка</t>
  </si>
  <si>
    <t>альт</t>
  </si>
  <si>
    <t>виолончель</t>
  </si>
  <si>
    <t>контрабас</t>
  </si>
  <si>
    <t>арфа</t>
  </si>
  <si>
    <t>флейта</t>
  </si>
  <si>
    <t>гобой</t>
  </si>
  <si>
    <t>кларнет</t>
  </si>
  <si>
    <t>валторна</t>
  </si>
  <si>
    <t>труба</t>
  </si>
  <si>
    <t>саксофон</t>
  </si>
  <si>
    <t>фагот</t>
  </si>
  <si>
    <t>туба</t>
  </si>
  <si>
    <t>тромбон</t>
  </si>
  <si>
    <t>ударные инструменты</t>
  </si>
  <si>
    <t>баян</t>
  </si>
  <si>
    <t>аккордеон</t>
  </si>
  <si>
    <t>домра</t>
  </si>
  <si>
    <t>балалайка</t>
  </si>
  <si>
    <t>гусли</t>
  </si>
  <si>
    <t>национальные инструменты</t>
  </si>
  <si>
    <t>гитара (в т.ч. её разновидности)</t>
  </si>
  <si>
    <t>ВСЕГО</t>
  </si>
  <si>
    <t>Наименование оборудования</t>
  </si>
  <si>
    <t>Количество обучающихся с ОВЗ</t>
  </si>
  <si>
    <t>Количество обучающихся-инвалиды</t>
  </si>
  <si>
    <t>Наименование портала</t>
  </si>
  <si>
    <t>Ссылка на портал</t>
  </si>
  <si>
    <t>Уровень</t>
  </si>
  <si>
    <t>Количество
публикаций</t>
  </si>
  <si>
    <t>Наименование печатного издания</t>
  </si>
  <si>
    <t>Дата публикации</t>
  </si>
  <si>
    <t>Название статьи</t>
  </si>
  <si>
    <t>Наименование телеканала</t>
  </si>
  <si>
    <t>Название передачи</t>
  </si>
  <si>
    <t>3. Взаимодействие с общественными организациями (формы, мероприятия) - общественные советы, попечительские советы, родительский комитет и т.п.</t>
  </si>
  <si>
    <t>2. Формы работы в летнее время, количество участников летних проектов на базе вашего образова-тельного учреждения: лагерь с дневным пребыванием детей, пленэры, летние творческие школы и др.</t>
  </si>
  <si>
    <t>4. Привлечение обучающихся к участию в волонтёрской деятельности.</t>
  </si>
  <si>
    <t>1. Результативность работы по основным направлениям.</t>
  </si>
  <si>
    <t>4. Взаимодействие с другими учреждениями культуры, домами культуры, библиотеками и т.д. (формы, мероприятия).</t>
  </si>
  <si>
    <t>3. Взаимодействие с другими детскими школами искусств, а также с Ярославским музыкальным училищем (колледжом) имени Л.В. Собинова, Ярославским художественным училищем, Ярославским колледжем культуры, включая ДШИ и ГОУСПО других регионов (формы, мероприятия).</t>
  </si>
  <si>
    <t>2. Использование современных технологий.</t>
  </si>
  <si>
    <t>1. Обновление содержания образования (в том числе планируемые к реализации новые образователь-ные программы (направления) в следующем учебном году).</t>
  </si>
  <si>
    <t>Законченное полное образование (среднее/высшее, перечислить все профильные учебные заведения, год окончания, специальность, квалификация)</t>
  </si>
  <si>
    <t>3 года</t>
  </si>
  <si>
    <t>2.1. Сведения о руководителях</t>
  </si>
  <si>
    <t>4.1. Информационная открытость образовательного учреждения</t>
  </si>
  <si>
    <t>4.3. Публикации в печатных СМИ федерального, регионального и муниципального уровней</t>
  </si>
  <si>
    <t>4.4. Публикации на ТВ-каналах федерального, регионального и муниципального уровней</t>
  </si>
  <si>
    <t>Количество обучающихся по состоянию на 1 октября отчётного года</t>
  </si>
  <si>
    <t>2020-2021</t>
  </si>
  <si>
    <t>1.1. Сведения об обучающихся с ограниченными возможностями здоровья (ОВЗ), в том числе инвалидах</t>
  </si>
  <si>
    <t>1.2. Реализация образовательных программ для лиц с ограниченными возможностями здоровья (ОВЗ), инвалидов</t>
  </si>
  <si>
    <t>1.3. Наличие образовательных программ, адаптированных для лиц с ограниченными возможностями здоровья (ОВЗ), инвалидов</t>
  </si>
  <si>
    <t>количество выпускников по предпрофессиональным программам</t>
  </si>
  <si>
    <t>количество выпускников по общеразвивающим программам - бюджетное отделение</t>
  </si>
  <si>
    <t>количество выпускников по общеразвивающим программам - внебюджетное отделение</t>
  </si>
  <si>
    <t>общее количество выпускников</t>
  </si>
  <si>
    <t>по предпрофессиональным программам</t>
  </si>
  <si>
    <t>по общеразвивающим программам -
бюджетное отделение</t>
  </si>
  <si>
    <t>по общеразвивающим программам - внебюджетное отделение</t>
  </si>
  <si>
    <t>Сохранность контингента</t>
  </si>
  <si>
    <t>по общеразвивающим программам - бюджетное отделение</t>
  </si>
  <si>
    <t>общая сохранность</t>
  </si>
  <si>
    <t>1.4. Количество выпускников в отчётном учебном году</t>
  </si>
  <si>
    <t>Количество детей, также приступивших ранее к освоению соответствующих программ вместе с выпускниками отчётного года, но выбывших до окончания срока освоения соответствующей программы (не только за отчётный год)</t>
  </si>
  <si>
    <t>общее количество выбывших</t>
  </si>
  <si>
    <t>Выпуск 2021</t>
  </si>
  <si>
    <t>Полные ФИО</t>
  </si>
  <si>
    <t>выпускников, завершивших обучение по предпрофессиональным программам и продолживших обучение в ссузах и вузах в 2020 году</t>
  </si>
  <si>
    <t>выпускников, завершивших обучение по общеразвивающим программам и продолживших обучение в ссузах и вузах в 2020 году</t>
  </si>
  <si>
    <t>1.5. Выпускники, поступившие в ссузы и вузы в 2020 г.</t>
  </si>
  <si>
    <t>2.2.1. Сведения о педагогических кадрах</t>
  </si>
  <si>
    <t>2.2.3. Сведения о педагогических кадрах</t>
  </si>
  <si>
    <t>Количество методистов:</t>
  </si>
  <si>
    <t>Сумма
(тыс. руб.)</t>
  </si>
  <si>
    <t>Общая сумма
(тыс. руб.)</t>
  </si>
  <si>
    <t>другое:</t>
  </si>
  <si>
    <t>-</t>
  </si>
  <si>
    <t>другое
(указать источник,
тыс. руб.)</t>
  </si>
  <si>
    <t>3.1. Сведения о ремонтах, проведённых в отчётном году</t>
  </si>
  <si>
    <t>3.2. Сведения о музыкальных инструментах, приобретённых / полученных в отчётном году</t>
  </si>
  <si>
    <t>3.3. Сведения о приобретении оборудования для учебного процесса художественного отделения</t>
  </si>
  <si>
    <t>3.4. Сведения о приобретении прочего оборудования для учебного процесса (мебель, электроника и др.)</t>
  </si>
  <si>
    <t>3.5. Сведения о состоянии музыкальных инструментов на 01.06.2021</t>
  </si>
  <si>
    <t>Интернет-сайт:</t>
  </si>
  <si>
    <t>Вконтакте:</t>
  </si>
  <si>
    <t>Facebook:</t>
  </si>
  <si>
    <t>Одноклассники:</t>
  </si>
  <si>
    <t>Instagram:</t>
  </si>
  <si>
    <t>Youtube-канал:</t>
  </si>
  <si>
    <t>4.2. Публикации на федеральных, региональных и муниципальных интернет-порталах (кроме культура.рф)</t>
  </si>
  <si>
    <t>Место проведения</t>
  </si>
  <si>
    <t>Полное официальное
название</t>
  </si>
  <si>
    <t>Сроки проведения</t>
  </si>
  <si>
    <t>Место
проведения</t>
  </si>
  <si>
    <t>Номинация / инструмент</t>
  </si>
  <si>
    <t>ФИО
обучающегося</t>
  </si>
  <si>
    <t>Достижение</t>
  </si>
  <si>
    <t>ФИО
преподавателя</t>
  </si>
  <si>
    <t>Название мероприятия</t>
  </si>
  <si>
    <t>Цели, задачи мероприятия</t>
  </si>
  <si>
    <t>Регламенти-рующий документ</t>
  </si>
  <si>
    <t>Форма работы</t>
  </si>
  <si>
    <t>Категория пользователей</t>
  </si>
  <si>
    <t>Сроки исполнения</t>
  </si>
  <si>
    <t>Результаты</t>
  </si>
  <si>
    <t>Примечание</t>
  </si>
  <si>
    <r>
      <t xml:space="preserve">5.1. Творческие достижения обучающихся в </t>
    </r>
    <r>
      <rPr>
        <b/>
        <sz val="12"/>
        <color theme="1"/>
        <rFont val="Times New Roman"/>
        <family val="1"/>
        <charset val="204"/>
      </rPr>
      <t>профессиональных</t>
    </r>
    <r>
      <rPr>
        <sz val="12"/>
        <color theme="1"/>
        <rFont val="Times New Roman"/>
        <family val="1"/>
        <charset val="204"/>
      </rPr>
      <t xml:space="preserve"> очных и интернет-конкурсах регионального и
межрегионального уровней в отчётном учебном году</t>
    </r>
  </si>
  <si>
    <r>
      <t xml:space="preserve">5.3. Творческие достижения обучающихся
в </t>
    </r>
    <r>
      <rPr>
        <b/>
        <sz val="12"/>
        <color theme="1"/>
        <rFont val="Times New Roman"/>
        <family val="1"/>
        <charset val="204"/>
      </rPr>
      <t>профессиональных</t>
    </r>
    <r>
      <rPr>
        <sz val="12"/>
        <color theme="1"/>
        <rFont val="Times New Roman"/>
        <family val="1"/>
        <charset val="204"/>
      </rPr>
      <t xml:space="preserve"> очных и интернет-конкурсах международного уровня в отчётном учебном году</t>
    </r>
  </si>
  <si>
    <r>
      <t xml:space="preserve">5.2. Творческие достижения обучающихся
в </t>
    </r>
    <r>
      <rPr>
        <b/>
        <sz val="12"/>
        <color theme="1"/>
        <rFont val="Times New Roman"/>
        <family val="1"/>
        <charset val="204"/>
      </rPr>
      <t>профессиональных</t>
    </r>
    <r>
      <rPr>
        <sz val="12"/>
        <color theme="1"/>
        <rFont val="Times New Roman"/>
        <family val="1"/>
        <charset val="204"/>
      </rPr>
      <t xml:space="preserve"> очных и интернет-конкурсах всероссийского уровня в отчётном учебном году</t>
    </r>
  </si>
  <si>
    <t>5.4. Творческие достижения обучающихся в мероприятиях, включённых в Межведомственный календарь
массовых мероприятий в отчётном учебном году</t>
  </si>
  <si>
    <t>5.5. Календарный план юбилейных и открытых мероприятий школы (областной уровень) на следующий учебный год</t>
  </si>
  <si>
    <t xml:space="preserve">          Уважаемые руководители! Просим подготовить развёрнутый ответ по образовательной деятельности и воспитательной работе за отчётный учебный год по нижеследующим пунктам. Ответ приложить в виде дополнения в формате .docx.</t>
  </si>
  <si>
    <t>5. Участие педагогических работников образовательного учреждения в методических мероприятиях (КПК, мастер-классы, публикации и издания).</t>
  </si>
  <si>
    <t>6. Список педагогических работников, планирующих пройти аттестацию на квалификационную категорию.
в следующем учебном году с указанием категории, на которую претендуют.</t>
  </si>
  <si>
    <t>7. Межрегиональное и международное сотрудничество (проекты, учебно-методическая деятельность, мероприятия).</t>
  </si>
  <si>
    <t>6. Аналитические материалы</t>
  </si>
  <si>
    <t>6.1. Образовательная деятельность учреждения</t>
  </si>
  <si>
    <t>6.2. Воспитательная работа учреждения</t>
  </si>
  <si>
    <t>8. Пожелания на проведение программ и/или направлений повышения квалификации. Пожелания на проведение мастер-классов, педагогов.</t>
  </si>
  <si>
    <t>ЯМУ им. Собинова</t>
  </si>
  <si>
    <t>фортепиано</t>
  </si>
  <si>
    <t>Ярославский колледж культуры</t>
  </si>
  <si>
    <t>Елисеева Лилия Александровна</t>
  </si>
  <si>
    <t>Геращенко Валерия Валентиновна</t>
  </si>
  <si>
    <t>Городской телеканал Ярославль</t>
  </si>
  <si>
    <t>Региональный</t>
  </si>
  <si>
    <t>Новости - репортаж о ремонте и вводе в эксплуатацию 4 новых кабинетов ДШИ № 10 по адресу ул. Труфанова, д. 29, корп. 5</t>
  </si>
  <si>
    <t>эстрадное пение</t>
  </si>
  <si>
    <t xml:space="preserve">https://www.facebook.com/groups/shkola.iskusstv10 </t>
  </si>
  <si>
    <t xml:space="preserve">https://vk.com/club135423836 </t>
  </si>
  <si>
    <t xml:space="preserve">https://ok.ru/group/55780035788821 </t>
  </si>
  <si>
    <t xml:space="preserve">http://яр-дши10.рф/ </t>
  </si>
  <si>
    <t xml:space="preserve">https://instagram.com/shkola_iskusstv10?utm_medium=co.. </t>
  </si>
  <si>
    <t>http://яр-дши10.рф/</t>
  </si>
  <si>
    <t>Петрушова Елена Геннадьевна</t>
  </si>
  <si>
    <t>Директор</t>
  </si>
  <si>
    <t>Заместитель директора</t>
  </si>
  <si>
    <t>Махнёва Марина Юрьевна</t>
  </si>
  <si>
    <t>Гуляева Ирина Павловна</t>
  </si>
  <si>
    <t>Высшее
Ярославский государственный университет имени П.Г. Демидова, 1998, специальность "Прикладная математика", квалификация математик</t>
  </si>
  <si>
    <t>Высшее
Кировское училище искусств, 1991, специальность теория музыки, квалификация преподаватель.
Костромской государственный университет им. Н.А. Некрасова, 2008, специальность "Музыкальное образование", квалификация учитель музыки</t>
  </si>
  <si>
    <t>Аверкиева Людмила Аркадьевна</t>
  </si>
  <si>
    <t>Без категории</t>
  </si>
  <si>
    <t>03.10.2019
дата према на работу</t>
  </si>
  <si>
    <t>ИЗО</t>
  </si>
  <si>
    <t>теоретические дисциплины</t>
  </si>
  <si>
    <t>Махова Виктория Леонидовна</t>
  </si>
  <si>
    <t>Коренченко Елена Александровна</t>
  </si>
  <si>
    <t>Высшая</t>
  </si>
  <si>
    <t>Ефремова Елена Сергеевна</t>
  </si>
  <si>
    <t>гитара</t>
  </si>
  <si>
    <t>Афанасьева Татьяна Владимировна</t>
  </si>
  <si>
    <t>Высшее
Буйское областное училище искусств, 1992, специальность народные инструменты (домра), квалификация артист, руководитель самодеятельного оркестра, преподаватель.
Нижегородская гос.консерватория им. М.И. Глинки, 1998, специальность инструментальное исполнительство (домра), квалификация концертный исполнитель, преподаватель</t>
  </si>
  <si>
    <t>Недюжина Наталья Леонидовна</t>
  </si>
  <si>
    <t>Первая</t>
  </si>
  <si>
    <t>Высшее
Нижнекамский музыкальный колледж им. Салиха Сайдашева, 2009, специальность инструментальное исполнительство, квалификация артист оркестра (ансамбля), преподаватель игры на инструменте, концертмейстер.
Московский гуманитарно-экономический институт, 2013, специальность юриспруденция, квалификация юрист.</t>
  </si>
  <si>
    <t>Никитин Кирилл Александрович</t>
  </si>
  <si>
    <t>Высшее
Ленинградская ордена Ленина Государственная консерватория мс. Н.А. Римского-Корсакова, 1979, специальность фортепиано, квалификация солист камерного ансамбля, преподаватель, концертмейстер</t>
  </si>
  <si>
    <t>Веретенникова Наталия Владимировна</t>
  </si>
  <si>
    <t>Высшее
ЯМУ им. Л.В. Собинова, 1980, специальность хоровое дирижирование, квалификация дирижер хора, учитель музыки и пения в общеобразовательной школе, преподаватель сольфеджио в музыкальной школе.
Ленинградский орд.Дружбы народов гос.институт культуры им. Н.К. Крупской, 1986, специальность культурно-просветитльская работа, специальность культпросветработник, руководитель самодеятельного русского народного хорового коллектива</t>
  </si>
  <si>
    <t>хор</t>
  </si>
  <si>
    <t>Одинцова Галина Валентиновна</t>
  </si>
  <si>
    <t>Среднее
Новокузнецкое музыкальное училище, 1980, специальность фортепиано, квалификация преподаватель ДМШ, концертмейстер</t>
  </si>
  <si>
    <t>Пермякова Марина Борисовна</t>
  </si>
  <si>
    <t>Среднее
Рязанское музыкальное училище, 1972, специальность народные инструменты, квалификация руководитель самодеятельного оркестра народных инструментов, преподаватель музыкальной школы по классу баяна</t>
  </si>
  <si>
    <t>Румянцева Антонина Александровна</t>
  </si>
  <si>
    <t>Носова Марина Сергеевна</t>
  </si>
  <si>
    <t>Высшее
ЯМУ им. Л.В. Собинова, 1989, специальность народные инструменты (баян), квалификация прподаватель, руководитель самодеятельного оркестра.
Нижгородская гос.консерватория им. М.И. Глинки, 1994, специальность баян, квалификация концертный исполниетель, преподаватель</t>
  </si>
  <si>
    <t>Недюжин Михаил Анатольевич</t>
  </si>
  <si>
    <t>Высшее
ЯМУ им. Л.В. Собинова, 1975, специальность фортепиано, квалификация прподаватель музыкальной школы и концертмейстер.
Ярославское училище культуры, 1998, специальность социально-культурная деятельность и народное художественное творчество, квалификация педагог-организ. досуга, постановщик досговых программ.
ЯГПУ им. К.Д. Ушинскго, 1982, специальность русский язык и литература, квалификация учитель русского языка и литературы</t>
  </si>
  <si>
    <t>Наумова Тамара Витальевна</t>
  </si>
  <si>
    <t>Высшее
ЯГПУ им. К.Д. Ушинского, 2005, специальность музыкальное образование, квалификация учитель музыки.</t>
  </si>
  <si>
    <t>хор
вокал</t>
  </si>
  <si>
    <t>Чернятина Яна Владимировна</t>
  </si>
  <si>
    <t>Среднее
Ворошиловоградское гос. музыкальное училище, 1977, специальность струнные инструменты, квалификация преподаватель ДМШ по классу скрипки, артист оркестра</t>
  </si>
  <si>
    <t>Сидельникова Ольга Константиновна</t>
  </si>
  <si>
    <t>Высшее
Северодонецкое музыкальное училище им. С.С. Прокофьева, 2001, специальность музыкальное искусство, квалификация преподаватель по классу фортепиано, концертмейстр, артист ансамбля.
Луганский национальный педагогический университет им. Тараса Шевченко, 2004, специальность музыкальная педагогика и воспитание, квалификация учитель музыки и художественной культуры.
Луганский национальный педагогический университет им. Тараса Шевченко, 2005, специальность управление учебным заведением, квалификация руководитель учебного заведения, организатор образовательно деятельности.</t>
  </si>
  <si>
    <t>Махова Елена Юрьевна</t>
  </si>
  <si>
    <t>Высшее
Новгородское областное уилище искусств им. С.В. Рахманинова, 2000, спциальность фортепиано, квалификация преподаватель, концертмейстер.
Новгородский гос.университет им.Ярослава Мудрого, 2004, специальность психология, квалификация психолог, преподаватель психологии</t>
  </si>
  <si>
    <t>Литвинова Эльвира Илмаривна</t>
  </si>
  <si>
    <t>Высшее
ЯМУ им. Л.В. Собинова, 2011, специальность инструментальное исполнительство, фортепиано, квалификация преподаватель игры на инструменте, концертмейстер.
ЯГПУ им.К.Д. Ушинского, 2014, специальность музыкальное образование, квалификация учитель музыки</t>
  </si>
  <si>
    <t>Костицына Лия Георгиевна</t>
  </si>
  <si>
    <t>Среднее 
Чернигорское государственное музыкальное училище, 1973,
специальность фортепиано, квалификация преподаватель детской музыкальной школы по классу фортепиано, концертмейстер</t>
  </si>
  <si>
    <t>Кольцова Тамара Михайловна</t>
  </si>
  <si>
    <t>Высшее
ЯМУ им. Л.В. Собинова, 2000, специальность теория музыки, квалификация преподаватель музыкально-теоретических дисциплин.
Вологодский гос.педагогический университиет, 2005, специальность музыкальное образование, квалификация теория музыки.</t>
  </si>
  <si>
    <t>Капитонова Екатерина Евгньевна</t>
  </si>
  <si>
    <t>Высшее
ЯМУ им.Л.В.Собинова, 1984, специальность теория музыки, квалификация преподаватель муз.школы по сольфедио, музыкальной литературе и общему фортепиано.
ЯГПУ им. К.Д. Ушинского, 1994, специальность русский язык и литература, квалификация учитель русского языка и литературы</t>
  </si>
  <si>
    <t>Евдокимова Ирина Михайловна</t>
  </si>
  <si>
    <t>Бурлакова Гузель Азатовна</t>
  </si>
  <si>
    <t>Высшее
ЯМУ им. Л.В. Собинова, 1981, специальность хоровое дирижирование, квалификация дирижер хора, учитель пения в школе, преподаватель сольфеджио в музыкальной школе.
Московский ордена Трудового Красного знамени гос.институт культуры, 1987, специальность культурно-просветительская работа, квалификация кулпросветрабтник, руководитель самодеятльного академического хора</t>
  </si>
  <si>
    <t>Афанасьева Татьяна Анатольевна</t>
  </si>
  <si>
    <t>Астафьева Алла Александровна</t>
  </si>
  <si>
    <t>Дата начала работы 01.09.2020</t>
  </si>
  <si>
    <t>Домецкий Роман Николевич</t>
  </si>
  <si>
    <t>Капитальный</t>
  </si>
  <si>
    <t>Стул</t>
  </si>
  <si>
    <t>Шкаф для пособий с антресолью</t>
  </si>
  <si>
    <t>Тумба для дидактического материала</t>
  </si>
  <si>
    <t>Стол для педагога</t>
  </si>
  <si>
    <t>Полка</t>
  </si>
  <si>
    <t>Стол ИЗО</t>
  </si>
  <si>
    <t>Доска информационная</t>
  </si>
  <si>
    <t>Доска настенная</t>
  </si>
  <si>
    <t>Телевизор</t>
  </si>
  <si>
    <t>Шкаф-витрина</t>
  </si>
  <si>
    <t>Доска "Нотный стан"</t>
  </si>
  <si>
    <t>Зеркало</t>
  </si>
  <si>
    <t>Шкаф 4-х дверный</t>
  </si>
  <si>
    <t>Стеллаж плуоткрытый</t>
  </si>
  <si>
    <t>Монитор ж/к</t>
  </si>
  <si>
    <t>вокал</t>
  </si>
  <si>
    <t>Дата начала работы 03.10.2020</t>
  </si>
  <si>
    <t>Шесткова-Садыкова Ксения Александровна</t>
  </si>
  <si>
    <t>Высшее
ЯМУ им. Л.В. Собинова, 2007, специальность инструментальное исполнительство, квалификация преподаватель игры на инструменте, концертмейстер
Костромской гос. университет им. Н.А. Некрасова, 2010,
специальность музыкальное образование, квалификация уитель музыки</t>
  </si>
  <si>
    <t>домры / хора</t>
  </si>
  <si>
    <t>Никитина Юлия Александровна</t>
  </si>
  <si>
    <t>Концертмейстер в классе…</t>
  </si>
  <si>
    <t xml:space="preserve">2.2.2. Сведения о педагогических кадрах </t>
  </si>
  <si>
    <t>Морозова Анна Сергеевна</t>
  </si>
  <si>
    <t>Дата начала работы 03.09.2020</t>
  </si>
  <si>
    <t>хора/домры</t>
  </si>
  <si>
    <t>домры /скрипки</t>
  </si>
  <si>
    <t>хора/вокала</t>
  </si>
  <si>
    <t>Дата начала работы 01.09.2019</t>
  </si>
  <si>
    <t>Недюжина Татьяна Михайловна</t>
  </si>
  <si>
    <t>домры/хора</t>
  </si>
  <si>
    <t>Дата начала работы 01.03.2021</t>
  </si>
  <si>
    <t>Высшее. 
ЯМУ им. Л.В. Собинова, 1971, специальность фортепиано, квалификация преподаватель ДМШ и концертмейстер.
ЯГПИ им. К.Д. Ушинского, 1981, специальность русский язык и литература, квалификация учитель русского языка и литературы</t>
  </si>
  <si>
    <t>Высшее
ЯМУ им. Л.В, Собинова, 2003, артист оркестра (ансамбля),  специальность народные иснтрументы (домра), квалификация артист оркестра (анс.), преподаватель, руководитель творческого коллектива.
ЯГПУ им. К.Д. Ушинского, 2013, специальность "Дошкольная педагогика и психология", квалификация перподаватель дошкольной педагогики и психологии</t>
  </si>
  <si>
    <t>ЯМУ им. Л.В. Собинова, 2020, специальность инструментальное исполнительство (гитара), квалификация артист, преподаватель, концертмейстер.</t>
  </si>
  <si>
    <t>Высшее
Октябрьское муз.училище, 1977, специальность теория музыки, квалификация  педагог ДМШ по муз.-теоретич.дисциплинам и общему фортепиано.
Казанский гос. педагогический институт, 1987, специальность музыка, квалификация учитель музыки</t>
  </si>
  <si>
    <t>Высшее
Перславский кинофотохимический колледж, 2004, специальность дизайн, квалификация дизайнер.
Московский психолого-социальный институт, 2011, специальность психология, квалификация психолог, преподаватель психологии.</t>
  </si>
  <si>
    <t>Среднее
ЯМУ им. Л.В. Собинова, 2016, специальность теория музыки, квалификация преподаватель, организатор музыкально-просветительской деятльности.</t>
  </si>
  <si>
    <t>Среднее 
Санкт-Петербургский музыкальный колледж им. М.П. Мусоргского,2007
специальность инструментальное исполнительство (фортепиано), квалификация преподаватель игры на инструменте, концертмейстер</t>
  </si>
  <si>
    <t>Высшее
Северодонецкое музыкальное училище им. С.С. Прокофьева, 2001, специальность музыкальное искусство, квалификация преподаватель по классу фортепиано, концертмейстр, артист ансамбля.
Луганский национальный педагогический университет им. Тараса Шевченко, 2004, специальность музыкальная педагогика и воспитание, квалификация учитель музыки и художественной культуры.
Луганский национальный педагогический университет им. Тараса Шевченко, 2005, специальность управление учебным заведением, квалификация руководитель учебного заведения, организатор образовательной деятельности.</t>
  </si>
  <si>
    <t>Среднее
Буйское музыкальнео училище, 1984, специальность фортепиано, квалификация преподаватель ДШИ, концертмейстер</t>
  </si>
  <si>
    <t>Высшее
ЯМУ им Л.В. Собинова, 1987, специальность хоровое дирижирование, квалификация дирижер хора, учитель музыки, преподаватель сольфеджио.
ЯГПУ им. К.Д. Ушинского, 2006, специальность музыкальное образование, квалификация учитель музыки.
Институт повышения квалификации-высшая школа бизнеса Конверсия, 2021, менеджмент образовательной организации с сфере культуры</t>
  </si>
  <si>
    <t>Студентка 3 курса ЯМУ им. Л.В. Собинова
отделения "Фортепиано"</t>
  </si>
  <si>
    <t>Среднее
Ярославское художественное училище, 2019, специальность живопись (по видам), квалификация художник-живописец, преподаватель</t>
  </si>
  <si>
    <t>Высшее
ЯМУ им. Л.В. Собинова, 2011,специальность инструментальное исполнительство, оркестровые струнные инструменты, квалификация артист оркестра, ансамбля, преподаватель игры на инструменте.
Петрозаводская государственная консерватория им. А.К. Глазунова, 2019, специальность искусство концертного исполнительства, квалификация концертный исполнитель, преподаватель</t>
  </si>
  <si>
    <t>Высшее
ЯМУ им. Л.С. Собинова, 2000, специальность хоровое дирижирование, квалификация руководитель творческого коллектива, преподаватель.
ЯГПУ им. КД. Ушинского, 2018, педагогическое образование</t>
  </si>
  <si>
    <t>МУДО "ДШИ № 10" г. Ярославля         ( 4 кабинета)</t>
  </si>
  <si>
    <t>Текущий</t>
  </si>
  <si>
    <t>МУДО "ДШИ № 10" г. Ярославля         устройство отливов на окна</t>
  </si>
  <si>
    <t xml:space="preserve">МУДО "ДШИ № 10" г. Ярославля монтаж жалюзи на окна              </t>
  </si>
  <si>
    <t xml:space="preserve"> Системы пожарной и охранной сигнализации</t>
  </si>
  <si>
    <t>VI фестиваль-конкурс малых ансамблей ДМШ и ДШИ Ярославской области «Музыкальная палитра»</t>
  </si>
  <si>
    <t>15-30 октября 2020</t>
  </si>
  <si>
    <t>п. Борисоглебский</t>
  </si>
  <si>
    <t>фортепианные дуэты</t>
  </si>
  <si>
    <t>Рытова Полина и Чегодаева Александра</t>
  </si>
  <si>
    <t>Диплом (лауреата) II степени</t>
  </si>
  <si>
    <t>Ярославский межрегиональный конкурс молодых исполнителей на струнных, духовых и ударных инструментах «Весенняя симфония»</t>
  </si>
  <si>
    <t>05-07.11.2020</t>
  </si>
  <si>
    <t>Диплом (лауреата) III степени</t>
  </si>
  <si>
    <t>Преп. Сидельникова Ольга Константиновна
Конц-р Костицына Лия Георгиевна</t>
  </si>
  <si>
    <t>скрипка
ансамбли</t>
  </si>
  <si>
    <t>I Межрегиональный конкурс исполнителей на домре, балалайке, баяне, гармони, аккордеоне 
«Мелодии зимы»</t>
  </si>
  <si>
    <t>29-30 января 2021 г.</t>
  </si>
  <si>
    <t>Г. Вологда</t>
  </si>
  <si>
    <t>Корель Арина Эдуардовна</t>
  </si>
  <si>
    <t>Диплом (лауреата) I степени</t>
  </si>
  <si>
    <t>Преп. Астафьева Алла Александровна
Конц-р Костицына Лия Георгиевна</t>
  </si>
  <si>
    <t>Преп. Недюджина Наталья Леонидовна
Конц-р Никитина Юлия Александровна</t>
  </si>
  <si>
    <t>Аверкин Даниил Романович</t>
  </si>
  <si>
    <t>домра
ансамбли</t>
  </si>
  <si>
    <t>Сорокина Варвара Ильинична и Сорокина Василина Ильинична</t>
  </si>
  <si>
    <t xml:space="preserve">Межрегиональная заочная олимпиада по музыкальной литературе "Загадки Гармонии" </t>
  </si>
  <si>
    <t>01.02-16.03.2021 г.</t>
  </si>
  <si>
    <t>Г. Череповец</t>
  </si>
  <si>
    <t>музлитература
олимпиада</t>
  </si>
  <si>
    <t>Макина Екатерина Ильинична</t>
  </si>
  <si>
    <t>Красотина Анастасия Петровна</t>
  </si>
  <si>
    <t>Задворнова Полина Денисовна</t>
  </si>
  <si>
    <t>Открытый региональный детско-юношеский вокальный конкурс «Cantante»</t>
  </si>
  <si>
    <t>01-22.03.2021 г</t>
  </si>
  <si>
    <t>г. Ярославль</t>
  </si>
  <si>
    <t>Тяжелов Захар Александрович</t>
  </si>
  <si>
    <t>Преп. Афанасьева Татьяна Анатольевна
Конц-р Махова Елена Юрьевна</t>
  </si>
  <si>
    <t>Тяжелов Григорий Александрович</t>
  </si>
  <si>
    <t xml:space="preserve">
IX Межрегиональный конкурс иных исполнителей имени В.Баснера
</t>
  </si>
  <si>
    <t>01-10.04.2021 г.</t>
  </si>
  <si>
    <t>ДШИ им. Собинова</t>
  </si>
  <si>
    <t>Дипломант</t>
  </si>
  <si>
    <t>Региональный этап Всероссийского хорового фестиваля</t>
  </si>
  <si>
    <t>Г. Ярославль
Всероссийское хоровое общество г. Москва</t>
  </si>
  <si>
    <t>хоры</t>
  </si>
  <si>
    <t>Старший хор</t>
  </si>
  <si>
    <t>Рук. Чернятина Яна Владимировна
Конц-р Морозова Анна Сергеевна</t>
  </si>
  <si>
    <t>IV Открытый Ярославский фестиваль-конкурс детских хоровых коллективов</t>
  </si>
  <si>
    <t>Май 2021 г.</t>
  </si>
  <si>
    <t>ДШИ «Канцона»</t>
  </si>
  <si>
    <t>Младший хор "Искорки"</t>
  </si>
  <si>
    <t>Рук. Одинцова Галина Валентиновна
Конц-р Морозова Анна Сергеевна</t>
  </si>
  <si>
    <t>Ярославский областной конкурс хоровых коллективов</t>
  </si>
  <si>
    <t>Г. Ярославль</t>
  </si>
  <si>
    <t>Всероссийский открытый конкурс-фестиваль исполнительского искусства им. М.М.Ипполитова-Иванова</t>
  </si>
  <si>
    <t>25.09 – 07.11.2020</t>
  </si>
  <si>
    <t xml:space="preserve">       г. Кострома</t>
  </si>
  <si>
    <t>Всероссийский конкурс-фестиваль искусств «АРТ-ПРЕМЬЕР»</t>
  </si>
  <si>
    <t>28.09.2020 г.</t>
  </si>
  <si>
    <t>Г. Москва</t>
  </si>
  <si>
    <t>Рук. Чернятина Яна Владимировна</t>
  </si>
  <si>
    <t xml:space="preserve">19 Молодежные Дельфийские игры России </t>
  </si>
  <si>
    <t>06-11.11.2020</t>
  </si>
  <si>
    <t>г. Омск</t>
  </si>
  <si>
    <t>Брюзгина Ульяна Олеговна</t>
  </si>
  <si>
    <t>VI Открытый Всероссийский конкурс имени Карла Черни</t>
  </si>
  <si>
    <t>23.11.2020 г.</t>
  </si>
  <si>
    <t>Г. Омск</t>
  </si>
  <si>
    <t>Маслова Екатерина Владимировна</t>
  </si>
  <si>
    <t>23.11.2020 г</t>
  </si>
  <si>
    <t>IV Всероссийский заочный фестиваль-конкурс художественного творчества «Чудо из чудес», посвященный 200-летию открытия Антарктиды</t>
  </si>
  <si>
    <t>01-23.12.2020</t>
  </si>
  <si>
    <t>ДШИ им. Балакирева</t>
  </si>
  <si>
    <t>живопись</t>
  </si>
  <si>
    <t>Шестакова-Садыкова Ксения Александровна</t>
  </si>
  <si>
    <t>«Всероссийская олимпиада искусств. Центр»</t>
  </si>
  <si>
    <t>Декабрь 2020 г</t>
  </si>
  <si>
    <t>ансамбли</t>
  </si>
  <si>
    <t>Эстрадный ансамбль "Отражение"</t>
  </si>
  <si>
    <t>г. Москва</t>
  </si>
  <si>
    <t>Ерофеева Любовь Сергеевна</t>
  </si>
  <si>
    <t>Наумова Тамар Витальевна</t>
  </si>
  <si>
    <t>IX Всероссийский фестиваль-конкурс «Играй, мой баян!»</t>
  </si>
  <si>
    <t>10-12.12.2020 г.</t>
  </si>
  <si>
    <t>ДШИ № 1 г. Ярославль</t>
  </si>
  <si>
    <t>Гран-При</t>
  </si>
  <si>
    <t>10-12.12.2020 г</t>
  </si>
  <si>
    <t>бвян</t>
  </si>
  <si>
    <t xml:space="preserve">II Всероссийский конкурс исполнителей на народных инструментах «Созвездие Арктики» </t>
  </si>
  <si>
    <t>1-10.12.2020 г.</t>
  </si>
  <si>
    <t>г. Якутск</t>
  </si>
  <si>
    <t xml:space="preserve">ХII Всероссийский конкурс-выставка
 детского изобразительного и декоративно-прикладного творчества
 для подготовительных групп художественных отделений ДШИ и ДХШ
«Рождественские встречи» </t>
  </si>
  <si>
    <t>17- 21 декабря 2020 г.</t>
  </si>
  <si>
    <t>ДШИ им. Стомпелева</t>
  </si>
  <si>
    <t>Всероссийский детско-юношеский конкурс исполнителей на народных инструментах «Русский напев»</t>
  </si>
  <si>
    <t>21-24.01.2021 г.</t>
  </si>
  <si>
    <t>Г. Пермь</t>
  </si>
  <si>
    <t>Преп. Недюжина Наталья Леонидовна
Конц-р Никитина Юлия Александровна</t>
  </si>
  <si>
    <t>IV Всероссийский конкурс исполнителей на народных инструментах «Русская палитра»</t>
  </si>
  <si>
    <t>30-31 января 2021 г.</t>
  </si>
  <si>
    <t>Воронова Евгения Александровна</t>
  </si>
  <si>
    <t>Сорокина Варвара Ильинична</t>
  </si>
  <si>
    <t>Сорокина Василина Ильинична</t>
  </si>
  <si>
    <t>домра
ансамбль</t>
  </si>
  <si>
    <t>VI Всероссийский конкурс юных вокалистов и вокальных ансамблей ДМШ, ДШИ и учащихся среднего профессионального образования</t>
  </si>
  <si>
    <t>27.02.2021 г.</t>
  </si>
  <si>
    <t>Г. Иваново</t>
  </si>
  <si>
    <t>сольное пение</t>
  </si>
  <si>
    <t>Ахова Анастасия Юрьевна</t>
  </si>
  <si>
    <t xml:space="preserve">Преп. Ефремова Елена Сергеевна
Конц-р Наумова Тамара Витальевна </t>
  </si>
  <si>
    <t>I Всероссийский конкурс юных пианистов «Классика и современность»</t>
  </si>
  <si>
    <t>13.02.2021 г.</t>
  </si>
  <si>
    <t>Рытова Полина Сергеевна и Чегодаева Александра Васильевна</t>
  </si>
  <si>
    <t xml:space="preserve"> Всероссийский конкурс хоров и академического вокала «Северное бельканто»</t>
  </si>
  <si>
    <t>14.02.2021 г.</t>
  </si>
  <si>
    <t>II Открытый Всероссийский конкурс «Струнный олимп»</t>
  </si>
  <si>
    <t>28.02.2021 г.</t>
  </si>
  <si>
    <t>Г. Санкт-Петербург</t>
  </si>
  <si>
    <t>I Всероссийский конкурс-фестиваль исполнителей на народных инструментах памяти Д.Калинина 
«CRAZYBALALAIKA»</t>
  </si>
  <si>
    <t>28.02-03.03.2021 г.</t>
  </si>
  <si>
    <t>Г. Набережные Челны</t>
  </si>
  <si>
    <t>Всероссийский дистанционный вокальный конкурс «Голос России»</t>
  </si>
  <si>
    <t>05.03.2021 г.</t>
  </si>
  <si>
    <t>Г. Краснодар</t>
  </si>
  <si>
    <t>Перп. Ефремова Елена Сергеевна
Конц-р Наумова Тамара Витальевна</t>
  </si>
  <si>
    <t>II Всероссийский конкурс юных исполнителей на народных струнно-щипковых инструментах (балалайка, домра, гитара) ДМШ, ДШИ и учащихся среднего профессионального образования</t>
  </si>
  <si>
    <t>13.03.2021 г.</t>
  </si>
  <si>
    <t>Преп. Недюжина Наталья Леонидовна
Конц-р Недюжина Татьяна Михайловна</t>
  </si>
  <si>
    <t>Блохина Наталья Сергеевна</t>
  </si>
  <si>
    <t>IV Всероссийский конкурс молодых исполнителей для учащихся фортепианных отделений ДМШ, ДШИ и студентов колледжей «Tutti.Piano»</t>
  </si>
  <si>
    <t>г. Набережные Челны</t>
  </si>
  <si>
    <t>Маслова екатерина Владимировна</t>
  </si>
  <si>
    <t>II Республиканский конкурс-фестиваль инструментального, вокального и хореографического творчества «Молодые таланты твои, Россия»</t>
  </si>
  <si>
    <t>26-27.03.2021 г.</t>
  </si>
  <si>
    <t>Г. Армянск, респ. Крым</t>
  </si>
  <si>
    <t>I Всероссийский конкурс
«Русское раздолье»</t>
  </si>
  <si>
    <t xml:space="preserve">I Всероссийский конкурс
«Русское раздолье»
</t>
  </si>
  <si>
    <t>V Всероссийский фестиваль-конкурс юных пианистов имени Василия Сергеевича Калинникова</t>
  </si>
  <si>
    <t>12.03 – 30.04. 2021 г.</t>
  </si>
  <si>
    <t>Фортепианные ансамбли</t>
  </si>
  <si>
    <t>Всероссийский открытый конкурс фортепианных дуэтов «За роялем вдвоём» имени А.Г. Бахчиева</t>
  </si>
  <si>
    <t>29.04 – 02.03.2021 г.</t>
  </si>
  <si>
    <t>Первый Всероссийский конкурс исполнительского мастерства учащихся ЛМШ и ДШИ «Как прекрасна земля!»</t>
  </si>
  <si>
    <t>09.05.2021 г.</t>
  </si>
  <si>
    <t>МБУДО  ДШИ г. Апатиты</t>
  </si>
  <si>
    <t>Всероссийский конкурс исполнителей-инструменталистов «Музыкальная мозаика – весна 2021»</t>
  </si>
  <si>
    <t>Вологодский гос. соц.-педагогический университет</t>
  </si>
  <si>
    <t>XI Всероссийский конкурс музыкального исполнительства «Зеленоградская весна»</t>
  </si>
  <si>
    <t>10.04.-20.05.2021</t>
  </si>
  <si>
    <t>Г. Зеленоград</t>
  </si>
  <si>
    <t>XX Молодежные Дельфийские игры России</t>
  </si>
  <si>
    <t>20-26.05.2021</t>
  </si>
  <si>
    <t>27-30.05.2021</t>
  </si>
  <si>
    <t>Первый международный конкурс музыкального исполнительства KAMERTONCOMPETITION</t>
  </si>
  <si>
    <t>Июль 2020 г.</t>
  </si>
  <si>
    <t xml:space="preserve">      г. Москва</t>
  </si>
  <si>
    <t xml:space="preserve">III Международный фестиваль-конкурс «SempreConcept» </t>
  </si>
  <si>
    <t xml:space="preserve">      г. Саратов</t>
  </si>
  <si>
    <t>Международный конкурс-фестиваль в рамках проекта «Планета талантов»
Олимпиада по сольфеджио</t>
  </si>
  <si>
    <t>сольфеджио</t>
  </si>
  <si>
    <t>Бажанова Юлия Алексеевна</t>
  </si>
  <si>
    <t xml:space="preserve">Международный конкурс-фестиваль «STARFEST» </t>
  </si>
  <si>
    <t>I Международный онлайн-конкурс
«ArtTalents»</t>
  </si>
  <si>
    <t>Международный конкурс 
«MagicSTARSofPrague»</t>
  </si>
  <si>
    <t>29.10-11.11.2020 г.</t>
  </si>
  <si>
    <t>Г. Прага</t>
  </si>
  <si>
    <t>XXX Международный конкурс-фестиваль музыкально-художественного творчества «Праздник детства»
Г. Санкт-Петербург</t>
  </si>
  <si>
    <t>Ноябрь 2020 г.</t>
  </si>
  <si>
    <t>VI Международный конкурс музыкально-художественного творчества «Открытые страницы.Псков»</t>
  </si>
  <si>
    <t>Г.Псков</t>
  </si>
  <si>
    <t>I Международный конкурс вокально-инструментального творчества
«SALZBURGSTARS»</t>
  </si>
  <si>
    <t>Г. Зальцбург</t>
  </si>
  <si>
    <t>II Международный конкурс пианистов «Святозарная Казань»</t>
  </si>
  <si>
    <t>24-30.11.2020 г.</t>
  </si>
  <si>
    <t>Г. Казань</t>
  </si>
  <si>
    <t>II Международный конкурс «Музыкальная шкатулка»</t>
  </si>
  <si>
    <t>25.11.2020 г.</t>
  </si>
  <si>
    <t>XI Международный конкурс исполнителей на народных инструментах «Кубок Белогорья»</t>
  </si>
  <si>
    <t>23-27 ноября 2020</t>
  </si>
  <si>
    <t>г. Белгород</t>
  </si>
  <si>
    <t xml:space="preserve"> I Международный конкурс «ESTRELLASDEBARSELONA»</t>
  </si>
  <si>
    <t>Декабрь 2020 г.</t>
  </si>
  <si>
    <t>Г. Барселона</t>
  </si>
  <si>
    <t>IV Международный конкурс исполнителей на русских народных инструментах и национальных гармониках на Приз В.Ф. Белякова</t>
  </si>
  <si>
    <t>5-7 декабря 2020 г.</t>
  </si>
  <si>
    <t>Г. Уфа</t>
  </si>
  <si>
    <t>Международный конкурс искусств «Зимняя сказка»</t>
  </si>
  <si>
    <t>07-11.12.2020 г.</t>
  </si>
  <si>
    <t>Преп. Ефремова Елена Сергеевна
Конц-р Наумова Тамара Витальевна</t>
  </si>
  <si>
    <t xml:space="preserve">VIII Международный конкурс «Финские истории» </t>
  </si>
  <si>
    <t>01-15.01.2021 г.</t>
  </si>
  <si>
    <t>г. Вологда</t>
  </si>
  <si>
    <t>Международный конкурс фортепианного искусства «Maestoso»</t>
  </si>
  <si>
    <t>05-10.01.2021 г.</t>
  </si>
  <si>
    <t>Г.Казань</t>
  </si>
  <si>
    <t>Международный конкурс музыкально-художественного творчества
«LAMASCHERAVENEZIANA»</t>
  </si>
  <si>
    <t>Январь 2021 г.</t>
  </si>
  <si>
    <t>Г. Венеция</t>
  </si>
  <si>
    <t>XXI Международный конкурс музыкально-художественного творчества «Славянские встречи»</t>
  </si>
  <si>
    <t>Январь 2021 г</t>
  </si>
  <si>
    <t>г. Минск</t>
  </si>
  <si>
    <t>Международный конкурс «Звездный переполох»</t>
  </si>
  <si>
    <t>21.01.2021 г.</t>
  </si>
  <si>
    <t>Г. Ростов-на-Дону</t>
  </si>
  <si>
    <t>Международный конкурс «Время чудес»</t>
  </si>
  <si>
    <t>25.01.2021 г.</t>
  </si>
  <si>
    <t>Международный фестиваль-конкурс
«Жар-птица России».
Союз работников культуры РФ</t>
  </si>
  <si>
    <t>05.02.2021 г.</t>
  </si>
  <si>
    <t>05.02.2021 г</t>
  </si>
  <si>
    <t>Сахаров Артем Эдуардович</t>
  </si>
  <si>
    <t xml:space="preserve">I Международный конкурс исполнителей на фортепиано «Магия звёзд» </t>
  </si>
  <si>
    <t>28.01-11.02.2021 г.</t>
  </si>
  <si>
    <t>г. Санкт-Петербург</t>
  </si>
  <si>
    <t>IV Международный конкурс этюдов «PRESTO»</t>
  </si>
  <si>
    <t>20.02.2021 г.</t>
  </si>
  <si>
    <t>XVIII Международный конкурс-фестиваль музыкально-художественного творчества «Открытые страницы. Ярославль»</t>
  </si>
  <si>
    <t>22.02.2021 г.</t>
  </si>
  <si>
    <t>Международный конкурс «Душа родного края»</t>
  </si>
  <si>
    <t>Г. Челябинск</t>
  </si>
  <si>
    <t>05.03.2021 г</t>
  </si>
  <si>
    <t>Преп.Чернятина Яна Владимировна
Конц-р Морозова Анна Сергеевна</t>
  </si>
  <si>
    <t>Смешанный хор</t>
  </si>
  <si>
    <t>Чернятина Я.В.
Одинцова Г.В.
Афанасьева Т.А.</t>
  </si>
  <si>
    <t>XV Международный конкурс «Звуки и краски столицы»</t>
  </si>
  <si>
    <t>09-19.03.2021 г.</t>
  </si>
  <si>
    <t>Международный конкурс-фестиваль искусств «Кубок Виктории»</t>
  </si>
  <si>
    <t>Рук. Чернятина Яна  Владимировна
Конц-р Морозова Анна Сергеевна</t>
  </si>
  <si>
    <t>Восьмой детско-юношеский хоровой чемпионат мира</t>
  </si>
  <si>
    <t>31.03-04.04.2021</t>
  </si>
  <si>
    <t>XII Международный конкурс джазовых коллективов и солистов «Музыкальный родник – детям»</t>
  </si>
  <si>
    <t>Март-апрель 2021 г.</t>
  </si>
  <si>
    <t>Г. Ярославль   ЦДиЮ</t>
  </si>
  <si>
    <t>Международный многожанровый фестиваль «На крыльях ангела»</t>
  </si>
  <si>
    <t>Апрель 2021 г.</t>
  </si>
  <si>
    <t>VIII Международный вокальный конкурс «Золотой голос России»</t>
  </si>
  <si>
    <t>28.03.2021 г.</t>
  </si>
  <si>
    <t>Г. Подольск</t>
  </si>
  <si>
    <t>X Международный конкурс народного и академического вокала «Мистерия звука»</t>
  </si>
  <si>
    <t xml:space="preserve">Международный конкурс-фестиваль искусств «Краски весны». При информационной поддержке Министерства культуры РФ.
 </t>
  </si>
  <si>
    <t>15.03-15.05.2021 г.</t>
  </si>
  <si>
    <t>IX Межрегиональный конкурс иных исполнителей имени В.Баснера</t>
  </si>
  <si>
    <t>01-10.04.2021</t>
  </si>
  <si>
    <t>Региональная выставка «Моё Отечество» в рамках Ярославского Межрегионального фестиваля «Гармонь на дорогах войны»</t>
  </si>
  <si>
    <t>УМиИЦ</t>
  </si>
  <si>
    <t>изобразительное искусство</t>
  </si>
  <si>
    <t>Ярославский областной конкурс-игра по сольфеджио «Музыкальная угадайка»</t>
  </si>
  <si>
    <t>14.04.2021 г.</t>
  </si>
  <si>
    <t>Капитонова Екатерина Евгеньевна</t>
  </si>
  <si>
    <t>Соков Кирилл Леонидович</t>
  </si>
  <si>
    <t>Ансамбль "Виолино":
Соков Кирилл Леонидович и Поникарова Диана Алексеевна</t>
  </si>
  <si>
    <t xml:space="preserve">Воронова Евгения Александровна </t>
  </si>
  <si>
    <t>Дуэт "Виолино:
Соков Кирилл Леонидович и Поникарова Диана Алексеевна</t>
  </si>
  <si>
    <t>Андреев Александр Михайлович</t>
  </si>
  <si>
    <t xml:space="preserve">Савина Луиза Ильинична </t>
  </si>
  <si>
    <t>Перчук Роман Алексеевич</t>
  </si>
  <si>
    <t xml:space="preserve">Ансамбль "Трилистник":
Филиппова Александра Сергеевна, Бабурин Андрей Павлович, Молчанова Екатерин Сергеевнаа </t>
  </si>
  <si>
    <t>Ансамбль "Трилистник":
Филиппова Александра Сергеевна, Бабурин Андрей Павлович, Молчанова Екатерина Сергеевна</t>
  </si>
  <si>
    <t>Линт Петр Алексеевич</t>
  </si>
  <si>
    <t>Заболонкова Виктория Александровна</t>
  </si>
  <si>
    <t xml:space="preserve">Осипова Валерия Дмитриевна </t>
  </si>
  <si>
    <t>Карамышева Анна Сергеевна</t>
  </si>
  <si>
    <t>Романина Ольга Олеговна</t>
  </si>
  <si>
    <t>Калинина Кристина Константиновна</t>
  </si>
  <si>
    <t xml:space="preserve">Новикова Виктория Сергеевна </t>
  </si>
  <si>
    <t>Артюнина Олеся Дмитриевна</t>
  </si>
  <si>
    <t>Смирнов Герман Юрьевич</t>
  </si>
  <si>
    <t>Соков Акирилл Леонидович</t>
  </si>
  <si>
    <t>Ансамбль "Виолино":
Соков Кирилл Леонидовичи Поникарова Диана Алексеевна</t>
  </si>
  <si>
    <t>Соколова Кристина Алексеевна,
Аверкин Даниил Романович</t>
  </si>
  <si>
    <t>Карамышева Анна
Новикова Виктория Сергеевна,
Камалтынова Анастасия Салиховна, 
Кочурина Ева Романовна</t>
  </si>
  <si>
    <t>Савина Луиза Ильинична</t>
  </si>
  <si>
    <t>Отборочные прослушивания на XX Молодежные Дельфийские игры России</t>
  </si>
</sst>
</file>

<file path=xl/styles.xml><?xml version="1.0" encoding="utf-8"?>
<styleSheet xmlns="http://schemas.openxmlformats.org/spreadsheetml/2006/main">
  <numFmts count="3">
    <numFmt numFmtId="164" formatCode="0.0"/>
    <numFmt numFmtId="165" formatCode="0&quot; чел.&quot;"/>
    <numFmt numFmtId="166" formatCode="0.00&quot; %&quot;"/>
  </numFmts>
  <fonts count="10">
    <font>
      <sz val="11"/>
      <color theme="1"/>
      <name val="Calibri"/>
      <family val="2"/>
      <scheme val="minor"/>
    </font>
    <font>
      <sz val="11"/>
      <color theme="1"/>
      <name val="Times New Roman"/>
      <family val="1"/>
      <charset val="204"/>
    </font>
    <font>
      <sz val="10"/>
      <color theme="1"/>
      <name val="Times New Roman"/>
      <family val="1"/>
      <charset val="204"/>
    </font>
    <font>
      <sz val="12"/>
      <color theme="1"/>
      <name val="Times New Roman"/>
      <family val="1"/>
      <charset val="204"/>
    </font>
    <font>
      <sz val="9"/>
      <color indexed="81"/>
      <name val="Tahoma"/>
      <family val="2"/>
      <charset val="204"/>
    </font>
    <font>
      <b/>
      <sz val="9"/>
      <color indexed="81"/>
      <name val="Tahoma"/>
      <family val="2"/>
      <charset val="204"/>
    </font>
    <font>
      <b/>
      <sz val="11"/>
      <color theme="1"/>
      <name val="Times New Roman"/>
      <family val="1"/>
      <charset val="204"/>
    </font>
    <font>
      <b/>
      <sz val="12"/>
      <color theme="1"/>
      <name val="Times New Roman"/>
      <family val="1"/>
      <charset val="204"/>
    </font>
    <font>
      <i/>
      <sz val="11"/>
      <color theme="1"/>
      <name val="Times New Roman"/>
      <family val="1"/>
      <charset val="204"/>
    </font>
    <font>
      <u/>
      <sz val="11"/>
      <color theme="10"/>
      <name val="Calibri"/>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2">
    <xf numFmtId="0" fontId="0" fillId="0" borderId="0"/>
    <xf numFmtId="0" fontId="9" fillId="0" borderId="0" applyNumberFormat="0" applyFill="0" applyBorder="0" applyAlignment="0" applyProtection="0">
      <alignment vertical="top"/>
      <protection locked="0"/>
    </xf>
  </cellStyleXfs>
  <cellXfs count="137">
    <xf numFmtId="0" fontId="0" fillId="0" borderId="0" xfId="0"/>
    <xf numFmtId="0" fontId="1" fillId="0" borderId="0" xfId="0" applyFont="1"/>
    <xf numFmtId="0" fontId="1" fillId="0" borderId="0" xfId="0" applyFont="1" applyBorder="1" applyAlignment="1"/>
    <xf numFmtId="0" fontId="1" fillId="0" borderId="0" xfId="0" applyFont="1" applyAlignment="1">
      <alignment vertical="center"/>
    </xf>
    <xf numFmtId="0" fontId="1" fillId="0" borderId="0" xfId="0" applyFont="1" applyBorder="1" applyAlignment="1">
      <alignment vertical="center" wrapText="1"/>
    </xf>
    <xf numFmtId="0" fontId="3" fillId="0" borderId="0" xfId="0" applyFont="1" applyAlignment="1"/>
    <xf numFmtId="0" fontId="1" fillId="0" borderId="0" xfId="0" applyFont="1" applyBorder="1" applyAlignment="1">
      <alignment horizontal="center" vertical="center"/>
    </xf>
    <xf numFmtId="0" fontId="2" fillId="0" borderId="0" xfId="0" applyFont="1" applyAlignment="1"/>
    <xf numFmtId="0" fontId="1" fillId="0" borderId="1" xfId="0" applyFont="1" applyBorder="1" applyAlignment="1" applyProtection="1">
      <alignment horizontal="left" vertical="center"/>
      <protection locked="0"/>
    </xf>
    <xf numFmtId="0" fontId="2" fillId="0" borderId="0" xfId="0" applyFont="1"/>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Border="1" applyAlignment="1">
      <alignment horizontal="center" vertical="center" wrapText="1"/>
    </xf>
    <xf numFmtId="14" fontId="2" fillId="0" borderId="0" xfId="0" applyNumberFormat="1" applyFont="1" applyAlignment="1" applyProtection="1">
      <alignment horizontal="center" vertical="center" wrapText="1"/>
      <protection locked="0"/>
    </xf>
    <xf numFmtId="14" fontId="2" fillId="0" borderId="0" xfId="0" applyNumberFormat="1"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0" xfId="0" applyFont="1" applyBorder="1" applyAlignment="1" applyProtection="1">
      <alignment horizontal="center" vertical="center" wrapText="1"/>
    </xf>
    <xf numFmtId="0" fontId="2" fillId="0" borderId="0" xfId="0" applyFont="1" applyBorder="1" applyAlignment="1" applyProtection="1">
      <alignment horizontal="left" vertical="center" wrapText="1"/>
    </xf>
    <xf numFmtId="14" fontId="2" fillId="0" borderId="0" xfId="0" applyNumberFormat="1" applyFont="1" applyBorder="1" applyAlignment="1" applyProtection="1">
      <alignment horizontal="center" vertical="center" wrapText="1"/>
    </xf>
    <xf numFmtId="0" fontId="2" fillId="0" borderId="0" xfId="0" applyFont="1" applyAlignment="1" applyProtection="1">
      <alignment horizontal="center" vertical="center" wrapText="1"/>
    </xf>
    <xf numFmtId="0" fontId="2" fillId="0" borderId="0" xfId="0" applyFont="1" applyAlignment="1" applyProtection="1">
      <alignment horizontal="left" vertical="center" wrapText="1"/>
    </xf>
    <xf numFmtId="14" fontId="2" fillId="0" borderId="0" xfId="0" applyNumberFormat="1" applyFont="1" applyAlignment="1" applyProtection="1">
      <alignment horizontal="center" vertical="center" wrapText="1"/>
    </xf>
    <xf numFmtId="0" fontId="2" fillId="0" borderId="0" xfId="0" applyFont="1" applyAlignment="1" applyProtection="1">
      <alignment wrapText="1"/>
    </xf>
    <xf numFmtId="0" fontId="0" fillId="0" borderId="0" xfId="0" applyProtection="1"/>
    <xf numFmtId="0" fontId="1" fillId="0" borderId="0" xfId="0" applyFont="1" applyAlignment="1" applyProtection="1">
      <alignment horizontal="center" vertical="center" wrapText="1"/>
      <protection locked="0"/>
    </xf>
    <xf numFmtId="0" fontId="1" fillId="0" borderId="0" xfId="0" applyFont="1" applyAlignment="1" applyProtection="1">
      <alignment horizontal="left" vertical="center" wrapText="1"/>
      <protection locked="0"/>
    </xf>
    <xf numFmtId="0" fontId="1" fillId="0" borderId="2" xfId="0" applyFont="1" applyBorder="1" applyAlignment="1" applyProtection="1">
      <alignment horizontal="center" vertical="center" wrapText="1"/>
      <protection locked="0"/>
    </xf>
    <xf numFmtId="0" fontId="1" fillId="0" borderId="2" xfId="0" applyFont="1" applyBorder="1" applyAlignment="1" applyProtection="1">
      <alignment horizontal="left" vertical="center" wrapText="1"/>
      <protection locked="0"/>
    </xf>
    <xf numFmtId="164" fontId="1" fillId="0" borderId="2" xfId="0" applyNumberFormat="1" applyFont="1" applyBorder="1" applyAlignment="1">
      <alignment horizontal="center" vertical="center"/>
    </xf>
    <xf numFmtId="0" fontId="1" fillId="0" borderId="2" xfId="0" applyFont="1" applyBorder="1" applyAlignment="1">
      <alignment horizontal="left" vertical="center" wrapText="1"/>
    </xf>
    <xf numFmtId="0" fontId="3" fillId="0" borderId="0" xfId="0" applyFont="1" applyAlignment="1">
      <alignment horizontal="center" vertical="center"/>
    </xf>
    <xf numFmtId="0" fontId="1" fillId="0" borderId="0" xfId="0" applyNumberFormat="1" applyFont="1" applyAlignment="1" applyProtection="1">
      <alignment horizontal="center" vertical="center"/>
    </xf>
    <xf numFmtId="0" fontId="6" fillId="2" borderId="2" xfId="0" applyFont="1" applyFill="1" applyBorder="1" applyAlignment="1">
      <alignment horizontal="right"/>
    </xf>
    <xf numFmtId="0" fontId="1" fillId="0" borderId="0" xfId="0" applyFont="1" applyAlignment="1">
      <alignment horizontal="center" vertical="center"/>
    </xf>
    <xf numFmtId="0" fontId="1" fillId="2" borderId="2"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14" fontId="1" fillId="0" borderId="0" xfId="0" applyNumberFormat="1" applyFont="1" applyAlignment="1" applyProtection="1">
      <alignment horizontal="center" vertical="center" wrapText="1"/>
      <protection locked="0"/>
    </xf>
    <xf numFmtId="0" fontId="1" fillId="0" borderId="0" xfId="0" applyFont="1" applyAlignment="1" applyProtection="1">
      <alignment horizontal="center" vertical="center"/>
    </xf>
    <xf numFmtId="0" fontId="2" fillId="2" borderId="2" xfId="0" applyFont="1" applyFill="1" applyBorder="1" applyAlignment="1">
      <alignment horizontal="center" vertical="center" wrapText="1"/>
    </xf>
    <xf numFmtId="0" fontId="1" fillId="0" borderId="0" xfId="0" applyFont="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0" borderId="2" xfId="0" applyFont="1" applyBorder="1" applyAlignment="1" applyProtection="1">
      <alignment horizontal="center" vertical="center"/>
      <protection locked="0"/>
    </xf>
    <xf numFmtId="0" fontId="1" fillId="2" borderId="5" xfId="0" applyFont="1" applyFill="1" applyBorder="1" applyAlignment="1">
      <alignment horizontal="center" vertical="center"/>
    </xf>
    <xf numFmtId="0" fontId="1" fillId="0" borderId="0" xfId="0" applyFont="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2" borderId="2" xfId="0" applyFont="1" applyFill="1" applyBorder="1" applyAlignment="1">
      <alignment horizontal="center" vertical="center" wrapText="1"/>
    </xf>
    <xf numFmtId="0" fontId="3" fillId="0" borderId="0" xfId="0" applyFont="1" applyAlignment="1">
      <alignment horizontal="center" vertical="center"/>
    </xf>
    <xf numFmtId="0" fontId="1" fillId="0" borderId="2" xfId="0" applyFont="1" applyBorder="1" applyAlignment="1" applyProtection="1">
      <alignment horizontal="center" vertical="center"/>
      <protection locked="0"/>
    </xf>
    <xf numFmtId="0" fontId="1" fillId="0" borderId="2" xfId="0" applyFont="1" applyBorder="1" applyAlignment="1">
      <alignment horizontal="left" vertical="center"/>
    </xf>
    <xf numFmtId="0" fontId="2" fillId="0" borderId="0" xfId="0" applyFont="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6" fillId="2" borderId="2" xfId="0" applyFont="1" applyFill="1" applyBorder="1" applyAlignment="1">
      <alignment horizontal="center" vertical="center"/>
    </xf>
    <xf numFmtId="0" fontId="1" fillId="0" borderId="0" xfId="0" applyFont="1" applyProtection="1"/>
    <xf numFmtId="0" fontId="1" fillId="2" borderId="2" xfId="0" applyFont="1" applyFill="1" applyBorder="1" applyAlignment="1" applyProtection="1">
      <alignment horizontal="center" vertical="center" wrapText="1"/>
    </xf>
    <xf numFmtId="165" fontId="1" fillId="0" borderId="2" xfId="0" applyNumberFormat="1" applyFont="1" applyBorder="1" applyAlignment="1" applyProtection="1">
      <alignment horizontal="center" vertical="center" wrapText="1"/>
    </xf>
    <xf numFmtId="0" fontId="1" fillId="0" borderId="0" xfId="0" applyFont="1" applyAlignment="1" applyProtection="1"/>
    <xf numFmtId="165" fontId="1" fillId="0" borderId="2" xfId="0" applyNumberFormat="1" applyFont="1" applyBorder="1" applyAlignment="1" applyProtection="1">
      <alignment horizontal="center" vertical="center"/>
      <protection locked="0"/>
    </xf>
    <xf numFmtId="165" fontId="1" fillId="0" borderId="2" xfId="0" applyNumberFormat="1" applyFont="1" applyBorder="1" applyAlignment="1" applyProtection="1">
      <alignment horizontal="center" vertical="center"/>
    </xf>
    <xf numFmtId="166" fontId="1" fillId="0" borderId="2" xfId="0" applyNumberFormat="1" applyFont="1" applyBorder="1" applyAlignment="1" applyProtection="1">
      <alignment horizontal="center" vertical="center"/>
    </xf>
    <xf numFmtId="165" fontId="1" fillId="0" borderId="2" xfId="0" applyNumberFormat="1" applyFont="1" applyBorder="1" applyAlignment="1" applyProtection="1">
      <alignment horizontal="center" vertical="center" wrapText="1"/>
      <protection locked="0"/>
    </xf>
    <xf numFmtId="0" fontId="3" fillId="0" borderId="0" xfId="0" applyFont="1" applyAlignment="1" applyProtection="1">
      <alignment vertical="center"/>
    </xf>
    <xf numFmtId="0" fontId="3" fillId="0" borderId="0" xfId="0" applyFont="1" applyAlignment="1" applyProtection="1"/>
    <xf numFmtId="0" fontId="3" fillId="0" borderId="0" xfId="0" applyFont="1" applyAlignment="1" applyProtection="1">
      <alignment horizontal="center"/>
    </xf>
    <xf numFmtId="0" fontId="3" fillId="0" borderId="1" xfId="0" applyFont="1" applyBorder="1" applyAlignment="1" applyProtection="1">
      <alignment horizontal="center"/>
      <protection locked="0"/>
    </xf>
    <xf numFmtId="0" fontId="1" fillId="2" borderId="2" xfId="0" applyFont="1" applyFill="1" applyBorder="1" applyAlignment="1" applyProtection="1">
      <alignment horizontal="center" vertical="center"/>
    </xf>
    <xf numFmtId="0" fontId="1" fillId="2" borderId="5" xfId="0" applyFont="1" applyFill="1" applyBorder="1" applyAlignment="1" applyProtection="1">
      <alignment vertical="center"/>
    </xf>
    <xf numFmtId="0" fontId="1" fillId="2" borderId="9" xfId="0" applyFont="1" applyFill="1" applyBorder="1" applyAlignment="1" applyProtection="1"/>
    <xf numFmtId="0" fontId="1" fillId="0" borderId="0" xfId="0" applyFont="1" applyBorder="1" applyAlignment="1" applyProtection="1">
      <alignment horizontal="center" vertical="center"/>
    </xf>
    <xf numFmtId="0" fontId="2" fillId="0" borderId="0" xfId="0" applyFont="1" applyAlignment="1" applyProtection="1"/>
    <xf numFmtId="49" fontId="2" fillId="0" borderId="0" xfId="0" applyNumberFormat="1" applyFont="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1" fillId="0" borderId="2" xfId="0" applyFont="1" applyBorder="1" applyAlignment="1" applyProtection="1">
      <alignment horizontal="center" vertical="center"/>
    </xf>
    <xf numFmtId="164" fontId="6" fillId="2" borderId="2" xfId="0" applyNumberFormat="1" applyFont="1" applyFill="1" applyBorder="1" applyAlignment="1">
      <alignment horizontal="center" vertical="center"/>
    </xf>
    <xf numFmtId="49" fontId="8" fillId="0" borderId="2" xfId="0" applyNumberFormat="1" applyFont="1" applyBorder="1" applyAlignment="1" applyProtection="1">
      <alignment horizontal="right" vertical="center" wrapText="1"/>
      <protection locked="0"/>
    </xf>
    <xf numFmtId="0" fontId="1" fillId="0" borderId="0" xfId="0" applyFont="1" applyAlignment="1">
      <alignment horizontal="right" vertical="center" wrapText="1"/>
    </xf>
    <xf numFmtId="0" fontId="2" fillId="0" borderId="2" xfId="0" applyFont="1" applyBorder="1" applyAlignment="1">
      <alignment horizontal="center" vertical="center" wrapText="1"/>
    </xf>
    <xf numFmtId="0" fontId="2" fillId="0" borderId="2" xfId="0" applyFont="1" applyFill="1" applyBorder="1" applyAlignment="1" applyProtection="1">
      <alignment horizontal="left" vertical="center" wrapText="1"/>
      <protection locked="0"/>
    </xf>
    <xf numFmtId="14" fontId="2" fillId="0" borderId="2" xfId="0" applyNumberFormat="1"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2" xfId="0" applyFont="1" applyBorder="1" applyAlignment="1" applyProtection="1">
      <alignment horizontal="left" vertical="center" wrapText="1"/>
      <protection locked="0"/>
    </xf>
    <xf numFmtId="49" fontId="2" fillId="0" borderId="2" xfId="0" applyNumberFormat="1"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49" fontId="2" fillId="0" borderId="0" xfId="0" applyNumberFormat="1" applyFont="1" applyBorder="1" applyAlignment="1" applyProtection="1">
      <alignment horizontal="center" vertical="center" wrapText="1"/>
      <protection locked="0"/>
    </xf>
    <xf numFmtId="0" fontId="0" fillId="0" borderId="0" xfId="0" applyBorder="1"/>
    <xf numFmtId="0" fontId="2" fillId="0" borderId="0" xfId="0" applyFont="1" applyProtection="1"/>
    <xf numFmtId="14" fontId="2" fillId="0" borderId="0" xfId="0" applyNumberFormat="1" applyFont="1" applyAlignment="1" applyProtection="1">
      <alignment horizontal="center" vertical="center"/>
    </xf>
    <xf numFmtId="0" fontId="2" fillId="0" borderId="0" xfId="0" applyFont="1" applyAlignment="1" applyProtection="1">
      <alignment horizontal="center" vertical="center"/>
    </xf>
    <xf numFmtId="0" fontId="2" fillId="0" borderId="0" xfId="0" applyFont="1" applyAlignment="1" applyProtection="1">
      <alignment horizontal="left" vertical="center"/>
    </xf>
    <xf numFmtId="0" fontId="2" fillId="0" borderId="0" xfId="0" applyFont="1" applyBorder="1" applyAlignment="1" applyProtection="1">
      <alignment horizontal="left" vertical="center"/>
    </xf>
    <xf numFmtId="0" fontId="2" fillId="0" borderId="0" xfId="0" applyFont="1" applyFill="1" applyAlignment="1" applyProtection="1">
      <alignment horizontal="center" vertical="center" wrapText="1"/>
      <protection locked="0"/>
    </xf>
    <xf numFmtId="0" fontId="2" fillId="3" borderId="2" xfId="0" applyFont="1" applyFill="1" applyBorder="1" applyAlignment="1" applyProtection="1">
      <alignment horizontal="left" vertical="center" wrapText="1"/>
      <protection locked="0"/>
    </xf>
    <xf numFmtId="0" fontId="2" fillId="3" borderId="0" xfId="0" applyFont="1" applyFill="1" applyAlignment="1" applyProtection="1">
      <alignment horizontal="left" vertical="center" wrapText="1"/>
      <protection locked="0"/>
    </xf>
    <xf numFmtId="0" fontId="1" fillId="3" borderId="1" xfId="0" applyFont="1" applyFill="1" applyBorder="1" applyAlignment="1" applyProtection="1">
      <alignment horizontal="left" vertical="center"/>
      <protection locked="0"/>
    </xf>
    <xf numFmtId="17" fontId="2" fillId="0" borderId="0" xfId="0" applyNumberFormat="1" applyFont="1" applyAlignment="1" applyProtection="1">
      <alignment horizontal="center" vertical="center" wrapText="1"/>
      <protection locked="0"/>
    </xf>
    <xf numFmtId="0" fontId="1" fillId="0" borderId="0" xfId="0" applyFont="1" applyAlignment="1" applyProtection="1">
      <alignment horizontal="left" vertical="center" wrapText="1"/>
      <protection locked="0"/>
    </xf>
    <xf numFmtId="0" fontId="3" fillId="0" borderId="0" xfId="0" applyFont="1" applyAlignment="1">
      <alignment horizontal="center" vertical="center"/>
    </xf>
    <xf numFmtId="0" fontId="1" fillId="2" borderId="2" xfId="0" applyFont="1" applyFill="1" applyBorder="1" applyAlignment="1">
      <alignment horizontal="center" vertical="center"/>
    </xf>
    <xf numFmtId="0" fontId="1" fillId="0" borderId="2" xfId="0" applyFont="1" applyBorder="1" applyAlignment="1" applyProtection="1">
      <alignment horizontal="center" vertical="center"/>
      <protection locked="0"/>
    </xf>
    <xf numFmtId="0" fontId="1" fillId="2" borderId="2" xfId="0" applyFont="1" applyFill="1" applyBorder="1" applyAlignment="1">
      <alignment horizontal="center" vertical="center" wrapText="1"/>
    </xf>
    <xf numFmtId="0" fontId="1" fillId="0" borderId="2"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6" xfId="0" applyFont="1" applyBorder="1" applyAlignment="1">
      <alignment horizontal="left" vertical="center"/>
    </xf>
    <xf numFmtId="0" fontId="7" fillId="2" borderId="5" xfId="0" applyFont="1" applyFill="1" applyBorder="1" applyAlignment="1">
      <alignment horizontal="right" vertical="center"/>
    </xf>
    <xf numFmtId="0" fontId="7" fillId="2" borderId="7" xfId="0" applyFont="1" applyFill="1" applyBorder="1" applyAlignment="1">
      <alignment horizontal="right" vertical="center"/>
    </xf>
    <xf numFmtId="0" fontId="7" fillId="2" borderId="6" xfId="0" applyFont="1" applyFill="1" applyBorder="1" applyAlignment="1">
      <alignment horizontal="right" vertical="center"/>
    </xf>
    <xf numFmtId="0" fontId="7" fillId="2" borderId="5"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6" xfId="0" applyFont="1" applyFill="1" applyBorder="1" applyAlignment="1">
      <alignment horizontal="center" vertical="center"/>
    </xf>
    <xf numFmtId="0" fontId="1" fillId="0" borderId="0" xfId="0" applyFont="1" applyAlignment="1" applyProtection="1">
      <alignment horizontal="center" vertical="center"/>
      <protection locked="0"/>
    </xf>
    <xf numFmtId="0" fontId="1" fillId="0" borderId="2" xfId="0" applyFont="1" applyBorder="1" applyAlignment="1">
      <alignment horizontal="center" vertical="center"/>
    </xf>
    <xf numFmtId="0" fontId="1" fillId="0" borderId="8" xfId="0" applyFont="1" applyBorder="1" applyAlignment="1" applyProtection="1">
      <alignment horizontal="center" vertical="center"/>
      <protection locked="0"/>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0" borderId="8" xfId="0" applyFont="1" applyBorder="1" applyAlignment="1" applyProtection="1">
      <alignment horizontal="left" vertical="center" wrapText="1"/>
      <protection locked="0"/>
    </xf>
    <xf numFmtId="0" fontId="1" fillId="2" borderId="2" xfId="0" applyFont="1" applyFill="1" applyBorder="1" applyAlignment="1" applyProtection="1">
      <alignment horizontal="center" vertical="center" wrapText="1"/>
    </xf>
    <xf numFmtId="0" fontId="3" fillId="0" borderId="0" xfId="0" applyFont="1" applyAlignment="1" applyProtection="1">
      <alignment horizontal="center" vertical="center"/>
    </xf>
    <xf numFmtId="0" fontId="1" fillId="2" borderId="3" xfId="0" applyFont="1" applyFill="1" applyBorder="1" applyAlignment="1" applyProtection="1">
      <alignment horizontal="center" vertical="center" wrapText="1"/>
    </xf>
    <xf numFmtId="0" fontId="1" fillId="2" borderId="4" xfId="0" applyFont="1" applyFill="1" applyBorder="1" applyAlignment="1" applyProtection="1">
      <alignment horizontal="center" vertical="center" wrapText="1"/>
    </xf>
    <xf numFmtId="0" fontId="3" fillId="0" borderId="0" xfId="0" applyFont="1" applyAlignment="1" applyProtection="1">
      <alignment horizontal="left" vertical="center"/>
    </xf>
    <xf numFmtId="0" fontId="1" fillId="0" borderId="0" xfId="0" applyFont="1" applyAlignment="1">
      <alignment horizontal="right" vertical="center"/>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3" fillId="0" borderId="0" xfId="0" applyFont="1" applyBorder="1" applyAlignment="1">
      <alignment horizontal="center" vertical="center"/>
    </xf>
    <xf numFmtId="0" fontId="1" fillId="0" borderId="0" xfId="0" applyFont="1" applyAlignment="1">
      <alignment horizontal="right" vertical="center" wrapText="1"/>
    </xf>
    <xf numFmtId="0" fontId="9" fillId="0" borderId="0" xfId="1" applyAlignment="1" applyProtection="1">
      <alignment horizontal="left" vertical="top" wrapText="1"/>
    </xf>
    <xf numFmtId="0" fontId="1" fillId="0" borderId="0" xfId="0" applyFont="1" applyAlignment="1">
      <alignment horizontal="left" vertical="top" wrapText="1"/>
    </xf>
    <xf numFmtId="0" fontId="3" fillId="0" borderId="0" xfId="0" applyFont="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left" vertical="center" wrapText="1"/>
    </xf>
    <xf numFmtId="16" fontId="3" fillId="0" borderId="0" xfId="0" applyNumberFormat="1" applyFont="1" applyAlignment="1">
      <alignment horizontal="center" vertical="center"/>
    </xf>
  </cellXfs>
  <cellStyles count="2">
    <cellStyle name="Гиперссылка" xfId="1" builtinId="8"/>
    <cellStyle name="Обычный" xfId="0" builtinId="0"/>
  </cellStyles>
  <dxfs count="44">
    <dxf>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Medium9">
    <tableStyle name="Стиль таблицы 1" pivot="0" count="1">
      <tableStyleElement type="wholeTable" dxfId="43"/>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ok.ru/group/55780035788821" TargetMode="External"/><Relationship Id="rId7" Type="http://schemas.openxmlformats.org/officeDocument/2006/relationships/printerSettings" Target="../printerSettings/printerSettings12.bin"/><Relationship Id="rId2" Type="http://schemas.openxmlformats.org/officeDocument/2006/relationships/hyperlink" Target="https://vk.com/club135423836" TargetMode="External"/><Relationship Id="rId1" Type="http://schemas.openxmlformats.org/officeDocument/2006/relationships/hyperlink" Target="https://www.facebook.com/groups/shkola.iskusstv10" TargetMode="External"/><Relationship Id="rId6" Type="http://schemas.openxmlformats.org/officeDocument/2006/relationships/hyperlink" Target="http://&#1103;&#1088;-&#1076;&#1096;&#1080;10.&#1088;&#1092;/" TargetMode="External"/><Relationship Id="rId5" Type="http://schemas.openxmlformats.org/officeDocument/2006/relationships/hyperlink" Target="https://instagram.com/shkola_iskusstv10?utm_medium=co.." TargetMode="External"/><Relationship Id="rId4" Type="http://schemas.openxmlformats.org/officeDocument/2006/relationships/hyperlink" Target="http://&#1103;&#1088;-&#1076;&#1096;&#1080;10.&#1088;&#1092;/" TargetMode="External"/></Relationships>
</file>

<file path=xl/worksheets/_rels/sheet1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J31"/>
  <sheetViews>
    <sheetView showWhiteSpace="0" view="pageLayout" workbookViewId="0">
      <selection activeCell="A22" sqref="A22:B22"/>
    </sheetView>
  </sheetViews>
  <sheetFormatPr defaultRowHeight="15"/>
  <cols>
    <col min="1" max="1" width="15.7109375" style="1" customWidth="1"/>
    <col min="2" max="2" width="16.5703125" style="1" customWidth="1"/>
    <col min="3" max="3" width="12.42578125" style="1" customWidth="1"/>
    <col min="4" max="4" width="11.42578125" style="1" customWidth="1"/>
    <col min="5" max="5" width="8.5703125" style="1" customWidth="1"/>
    <col min="6" max="6" width="7.85546875" style="1" customWidth="1"/>
    <col min="7" max="7" width="14.42578125" style="1" customWidth="1"/>
    <col min="8" max="8" width="14.140625" style="1" customWidth="1"/>
    <col min="9" max="9" width="14.28515625" style="1" customWidth="1"/>
    <col min="10" max="10" width="15.42578125" style="1" customWidth="1"/>
    <col min="11" max="16384" width="9.140625" style="1"/>
  </cols>
  <sheetData>
    <row r="1" spans="1:10" ht="15.75">
      <c r="A1" s="99" t="s">
        <v>101</v>
      </c>
      <c r="B1" s="99"/>
      <c r="C1" s="99"/>
      <c r="D1" s="99"/>
      <c r="E1" s="99"/>
      <c r="F1" s="99"/>
      <c r="G1" s="99"/>
      <c r="H1" s="99"/>
      <c r="I1" s="99"/>
      <c r="J1" s="99"/>
    </row>
    <row r="3" spans="1:10" ht="30" customHeight="1">
      <c r="A3" s="102" t="s">
        <v>5</v>
      </c>
      <c r="B3" s="102"/>
      <c r="C3" s="102"/>
      <c r="D3" s="102" t="s">
        <v>74</v>
      </c>
      <c r="E3" s="102"/>
      <c r="F3" s="102"/>
      <c r="G3" s="102"/>
      <c r="H3" s="102" t="s">
        <v>75</v>
      </c>
      <c r="I3" s="102"/>
      <c r="J3" s="102"/>
    </row>
    <row r="4" spans="1:10">
      <c r="A4" s="100">
        <v>1</v>
      </c>
      <c r="B4" s="100"/>
      <c r="C4" s="100"/>
      <c r="D4" s="100">
        <v>2</v>
      </c>
      <c r="E4" s="100"/>
      <c r="F4" s="100"/>
      <c r="G4" s="100"/>
      <c r="H4" s="100">
        <v>3</v>
      </c>
      <c r="I4" s="100"/>
      <c r="J4" s="100"/>
    </row>
    <row r="5" spans="1:10">
      <c r="A5" s="103" t="s">
        <v>6</v>
      </c>
      <c r="B5" s="103"/>
      <c r="C5" s="103"/>
      <c r="D5" s="101">
        <v>0</v>
      </c>
      <c r="E5" s="101"/>
      <c r="F5" s="101"/>
      <c r="G5" s="101"/>
      <c r="H5" s="101">
        <v>0</v>
      </c>
      <c r="I5" s="101"/>
      <c r="J5" s="101"/>
    </row>
    <row r="6" spans="1:10">
      <c r="A6" s="104" t="s">
        <v>7</v>
      </c>
      <c r="B6" s="105"/>
      <c r="C6" s="106"/>
      <c r="D6" s="101">
        <v>0</v>
      </c>
      <c r="E6" s="101"/>
      <c r="F6" s="101"/>
      <c r="G6" s="101"/>
      <c r="H6" s="101">
        <v>0</v>
      </c>
      <c r="I6" s="101"/>
      <c r="J6" s="101"/>
    </row>
    <row r="7" spans="1:10">
      <c r="A7" s="104" t="s">
        <v>8</v>
      </c>
      <c r="B7" s="105"/>
      <c r="C7" s="106"/>
      <c r="D7" s="101">
        <v>0</v>
      </c>
      <c r="E7" s="101"/>
      <c r="F7" s="101"/>
      <c r="G7" s="101"/>
      <c r="H7" s="101">
        <v>0</v>
      </c>
      <c r="I7" s="101"/>
      <c r="J7" s="101"/>
    </row>
    <row r="8" spans="1:10">
      <c r="A8" s="104" t="s">
        <v>9</v>
      </c>
      <c r="B8" s="105"/>
      <c r="C8" s="106"/>
      <c r="D8" s="101">
        <v>0</v>
      </c>
      <c r="E8" s="101"/>
      <c r="F8" s="101"/>
      <c r="G8" s="101"/>
      <c r="H8" s="101">
        <v>0</v>
      </c>
      <c r="I8" s="101"/>
      <c r="J8" s="101"/>
    </row>
    <row r="9" spans="1:10">
      <c r="A9" s="104" t="s">
        <v>10</v>
      </c>
      <c r="B9" s="105"/>
      <c r="C9" s="106"/>
      <c r="D9" s="101">
        <v>0</v>
      </c>
      <c r="E9" s="101"/>
      <c r="F9" s="101"/>
      <c r="G9" s="101"/>
      <c r="H9" s="101">
        <v>0</v>
      </c>
      <c r="I9" s="101"/>
      <c r="J9" s="101"/>
    </row>
    <row r="10" spans="1:10">
      <c r="A10" s="104" t="s">
        <v>11</v>
      </c>
      <c r="B10" s="105"/>
      <c r="C10" s="106"/>
      <c r="D10" s="101">
        <v>0</v>
      </c>
      <c r="E10" s="101"/>
      <c r="F10" s="101"/>
      <c r="G10" s="101"/>
      <c r="H10" s="101">
        <v>0</v>
      </c>
      <c r="I10" s="101"/>
      <c r="J10" s="101"/>
    </row>
    <row r="11" spans="1:10">
      <c r="A11" s="104" t="s">
        <v>12</v>
      </c>
      <c r="B11" s="105"/>
      <c r="C11" s="106"/>
      <c r="D11" s="101">
        <v>0</v>
      </c>
      <c r="E11" s="101"/>
      <c r="F11" s="101"/>
      <c r="G11" s="101"/>
      <c r="H11" s="101">
        <v>0</v>
      </c>
      <c r="I11" s="101"/>
      <c r="J11" s="101"/>
    </row>
    <row r="12" spans="1:10">
      <c r="A12" s="104" t="s">
        <v>13</v>
      </c>
      <c r="B12" s="105"/>
      <c r="C12" s="106"/>
      <c r="D12" s="101">
        <v>0</v>
      </c>
      <c r="E12" s="101"/>
      <c r="F12" s="101"/>
      <c r="G12" s="101"/>
      <c r="H12" s="101">
        <v>0</v>
      </c>
      <c r="I12" s="101"/>
      <c r="J12" s="101"/>
    </row>
    <row r="13" spans="1:10">
      <c r="A13" s="104" t="s">
        <v>14</v>
      </c>
      <c r="B13" s="105"/>
      <c r="C13" s="106"/>
      <c r="D13" s="101">
        <v>0</v>
      </c>
      <c r="E13" s="101"/>
      <c r="F13" s="101"/>
      <c r="G13" s="101"/>
      <c r="H13" s="101">
        <v>0</v>
      </c>
      <c r="I13" s="101"/>
      <c r="J13" s="101"/>
    </row>
    <row r="14" spans="1:10" ht="15.75">
      <c r="A14" s="107" t="s">
        <v>0</v>
      </c>
      <c r="B14" s="108"/>
      <c r="C14" s="109"/>
      <c r="D14" s="110">
        <f>D5+D6+D7+D8+D9+D10+D11+D12+D13</f>
        <v>0</v>
      </c>
      <c r="E14" s="111"/>
      <c r="F14" s="111"/>
      <c r="G14" s="112"/>
      <c r="H14" s="110">
        <f>H5+H6+H7+H8+H9+H10+H11+H12+H13</f>
        <v>0</v>
      </c>
      <c r="I14" s="111"/>
      <c r="J14" s="112"/>
    </row>
    <row r="16" spans="1:10" ht="15.75">
      <c r="A16" s="99" t="s">
        <v>102</v>
      </c>
      <c r="B16" s="99"/>
      <c r="C16" s="99"/>
      <c r="D16" s="99"/>
      <c r="E16" s="99"/>
      <c r="F16" s="99"/>
      <c r="G16" s="99"/>
      <c r="H16" s="99"/>
      <c r="I16" s="99"/>
      <c r="J16" s="99"/>
    </row>
    <row r="18" spans="1:10" ht="15" customHeight="1">
      <c r="A18" s="102" t="s">
        <v>99</v>
      </c>
      <c r="B18" s="102"/>
      <c r="C18" s="102" t="s">
        <v>4</v>
      </c>
      <c r="D18" s="102"/>
      <c r="E18" s="102" t="s">
        <v>15</v>
      </c>
      <c r="F18" s="102"/>
      <c r="G18" s="102" t="s">
        <v>16</v>
      </c>
      <c r="H18" s="102"/>
      <c r="I18" s="102"/>
      <c r="J18" s="102"/>
    </row>
    <row r="19" spans="1:10">
      <c r="A19" s="102"/>
      <c r="B19" s="102"/>
      <c r="C19" s="102"/>
      <c r="D19" s="102"/>
      <c r="E19" s="102"/>
      <c r="F19" s="102"/>
      <c r="G19" s="102" t="s">
        <v>17</v>
      </c>
      <c r="H19" s="102"/>
      <c r="I19" s="102" t="s">
        <v>18</v>
      </c>
      <c r="J19" s="102"/>
    </row>
    <row r="20" spans="1:10" ht="30" customHeight="1">
      <c r="A20" s="102"/>
      <c r="B20" s="102"/>
      <c r="C20" s="102"/>
      <c r="D20" s="102"/>
      <c r="E20" s="102"/>
      <c r="F20" s="102"/>
      <c r="G20" s="42" t="s">
        <v>100</v>
      </c>
      <c r="H20" s="42" t="s">
        <v>94</v>
      </c>
      <c r="I20" s="43" t="s">
        <v>100</v>
      </c>
      <c r="J20" s="43" t="s">
        <v>94</v>
      </c>
    </row>
    <row r="21" spans="1:10">
      <c r="A21" s="100">
        <v>1</v>
      </c>
      <c r="B21" s="100"/>
      <c r="C21" s="100">
        <v>2</v>
      </c>
      <c r="D21" s="100"/>
      <c r="E21" s="100">
        <v>3</v>
      </c>
      <c r="F21" s="100"/>
      <c r="G21" s="42">
        <v>4</v>
      </c>
      <c r="H21" s="42">
        <v>5</v>
      </c>
      <c r="I21" s="42">
        <v>6</v>
      </c>
      <c r="J21" s="42">
        <v>7</v>
      </c>
    </row>
    <row r="22" spans="1:10">
      <c r="A22" s="114">
        <v>0</v>
      </c>
      <c r="B22" s="114"/>
      <c r="C22" s="101">
        <v>0</v>
      </c>
      <c r="D22" s="101"/>
      <c r="E22" s="101">
        <v>0</v>
      </c>
      <c r="F22" s="101"/>
      <c r="G22" s="44">
        <v>0</v>
      </c>
      <c r="H22" s="44">
        <v>1</v>
      </c>
      <c r="I22" s="44">
        <v>0</v>
      </c>
      <c r="J22" s="44">
        <v>3.3</v>
      </c>
    </row>
    <row r="24" spans="1:10" ht="15.75">
      <c r="A24" s="99" t="s">
        <v>103</v>
      </c>
      <c r="B24" s="99"/>
      <c r="C24" s="99"/>
      <c r="D24" s="99"/>
      <c r="E24" s="99"/>
      <c r="F24" s="99"/>
      <c r="G24" s="99"/>
      <c r="H24" s="99"/>
      <c r="I24" s="99"/>
      <c r="J24" s="99"/>
    </row>
    <row r="26" spans="1:10">
      <c r="A26" s="41" t="s">
        <v>23</v>
      </c>
      <c r="B26" s="116" t="s">
        <v>19</v>
      </c>
      <c r="C26" s="118"/>
      <c r="D26" s="118"/>
      <c r="E26" s="118"/>
      <c r="F26" s="118"/>
      <c r="G26" s="117"/>
      <c r="H26" s="116" t="s">
        <v>20</v>
      </c>
      <c r="I26" s="117"/>
      <c r="J26" s="45" t="s">
        <v>21</v>
      </c>
    </row>
    <row r="27" spans="1:10">
      <c r="A27" s="40"/>
      <c r="B27" s="119"/>
      <c r="C27" s="119"/>
      <c r="D27" s="119"/>
      <c r="E27" s="119"/>
      <c r="F27" s="119"/>
      <c r="G27" s="119"/>
      <c r="H27" s="115"/>
      <c r="I27" s="115"/>
      <c r="J27" s="47"/>
    </row>
    <row r="28" spans="1:10">
      <c r="A28" s="40"/>
      <c r="B28" s="98"/>
      <c r="C28" s="98"/>
      <c r="D28" s="98"/>
      <c r="E28" s="98"/>
      <c r="F28" s="98"/>
      <c r="G28" s="98"/>
      <c r="H28" s="113"/>
      <c r="I28" s="113"/>
      <c r="J28" s="46"/>
    </row>
    <row r="29" spans="1:10">
      <c r="A29" s="40"/>
      <c r="B29" s="98"/>
      <c r="C29" s="98"/>
      <c r="D29" s="98"/>
      <c r="E29" s="98"/>
      <c r="F29" s="98"/>
      <c r="G29" s="98"/>
      <c r="H29" s="113"/>
      <c r="I29" s="113"/>
      <c r="J29" s="46"/>
    </row>
    <row r="30" spans="1:10">
      <c r="A30" s="40"/>
      <c r="B30" s="98"/>
      <c r="C30" s="98"/>
      <c r="D30" s="98"/>
      <c r="E30" s="98"/>
      <c r="F30" s="98"/>
      <c r="G30" s="98"/>
      <c r="H30" s="113"/>
      <c r="I30" s="113"/>
      <c r="J30" s="46"/>
    </row>
    <row r="31" spans="1:10">
      <c r="A31" s="40"/>
      <c r="B31" s="98"/>
      <c r="C31" s="98"/>
      <c r="D31" s="98"/>
      <c r="E31" s="98"/>
      <c r="F31" s="98"/>
      <c r="G31" s="98"/>
      <c r="H31" s="113"/>
      <c r="I31" s="113"/>
      <c r="J31" s="46"/>
    </row>
  </sheetData>
  <sheetProtection selectLockedCells="1"/>
  <mergeCells count="63">
    <mergeCell ref="H28:I28"/>
    <mergeCell ref="H29:I29"/>
    <mergeCell ref="H30:I30"/>
    <mergeCell ref="H31:I31"/>
    <mergeCell ref="A18:B20"/>
    <mergeCell ref="A22:B22"/>
    <mergeCell ref="A24:J24"/>
    <mergeCell ref="H27:I27"/>
    <mergeCell ref="H26:I26"/>
    <mergeCell ref="B26:G26"/>
    <mergeCell ref="G18:J18"/>
    <mergeCell ref="G19:H19"/>
    <mergeCell ref="I19:J19"/>
    <mergeCell ref="E18:F20"/>
    <mergeCell ref="C18:D20"/>
    <mergeCell ref="B27:G27"/>
    <mergeCell ref="H13:J13"/>
    <mergeCell ref="A14:C14"/>
    <mergeCell ref="D14:G14"/>
    <mergeCell ref="H14:J14"/>
    <mergeCell ref="A13:C13"/>
    <mergeCell ref="H8:J8"/>
    <mergeCell ref="H9:J9"/>
    <mergeCell ref="H10:J10"/>
    <mergeCell ref="H11:J11"/>
    <mergeCell ref="H12:J12"/>
    <mergeCell ref="D11:G11"/>
    <mergeCell ref="D12:G12"/>
    <mergeCell ref="D13:G13"/>
    <mergeCell ref="A8:C8"/>
    <mergeCell ref="A9:C9"/>
    <mergeCell ref="A10:C10"/>
    <mergeCell ref="A11:C11"/>
    <mergeCell ref="A12:C12"/>
    <mergeCell ref="D8:G8"/>
    <mergeCell ref="D9:G9"/>
    <mergeCell ref="D10:G10"/>
    <mergeCell ref="A7:C7"/>
    <mergeCell ref="H6:J6"/>
    <mergeCell ref="H7:J7"/>
    <mergeCell ref="D6:G6"/>
    <mergeCell ref="D7:G7"/>
    <mergeCell ref="H4:J4"/>
    <mergeCell ref="D5:G5"/>
    <mergeCell ref="H5:J5"/>
    <mergeCell ref="A5:C5"/>
    <mergeCell ref="A6:C6"/>
    <mergeCell ref="B28:G28"/>
    <mergeCell ref="B29:G29"/>
    <mergeCell ref="B30:G30"/>
    <mergeCell ref="B31:G31"/>
    <mergeCell ref="A1:J1"/>
    <mergeCell ref="A16:J16"/>
    <mergeCell ref="A21:B21"/>
    <mergeCell ref="C21:D21"/>
    <mergeCell ref="C22:D22"/>
    <mergeCell ref="E21:F21"/>
    <mergeCell ref="E22:F22"/>
    <mergeCell ref="A3:C3"/>
    <mergeCell ref="D3:G3"/>
    <mergeCell ref="H3:J3"/>
    <mergeCell ref="A4:C4"/>
    <mergeCell ref="D4:G4"/>
  </mergeCells>
  <conditionalFormatting sqref="A27:J31">
    <cfRule type="notContainsBlanks" dxfId="42" priority="1">
      <formula>LEN(TRIM(A27))&gt;0</formula>
    </cfRule>
  </conditionalFormatting>
  <dataValidations count="3">
    <dataValidation type="list" allowBlank="1" showErrorMessage="1" error="Выберите срок реализации адаптированной программы из предлагаемого списка." sqref="J27:J31">
      <formula1>"1 год, 2 года, 3 года, 4 года, 5 лет, 6 лет, 7 лет, 8 лет"</formula1>
    </dataValidation>
    <dataValidation type="list" allowBlank="1" showErrorMessage="1" error="Выберите вид программы из списка." sqref="H27:H31">
      <formula1>"Предпрофессиональная, Общеразвивающая"</formula1>
    </dataValidation>
    <dataValidation allowBlank="1" showErrorMessage="1" error="Выберите вид программы из списка." sqref="B27:B31"/>
  </dataValidations>
  <pageMargins left="0.7" right="0.7" top="0.75" bottom="0.75" header="0.3" footer="0.3"/>
  <pageSetup paperSize="9" orientation="landscape" r:id="rId1"/>
  <headerFooter>
    <oddHeader>&amp;R&amp;"Times New Roman,обычный"&amp;10Анализ деятельности образовательного учреждения культурыпо итогам 2020-2021 учебного года</oddHeader>
    <oddFooter>&amp;C&amp;P</oddFooter>
  </headerFooter>
  <legacyDrawing r:id="rId2"/>
</worksheet>
</file>

<file path=xl/worksheets/sheet10.xml><?xml version="1.0" encoding="utf-8"?>
<worksheet xmlns="http://schemas.openxmlformats.org/spreadsheetml/2006/main" xmlns:r="http://schemas.openxmlformats.org/officeDocument/2006/relationships">
  <dimension ref="A1:H19"/>
  <sheetViews>
    <sheetView showWhiteSpace="0" view="pageLayout" workbookViewId="0">
      <selection activeCell="H11" sqref="H11"/>
    </sheetView>
  </sheetViews>
  <sheetFormatPr defaultRowHeight="15"/>
  <cols>
    <col min="1" max="1" width="5.85546875" style="1" customWidth="1"/>
    <col min="2" max="2" width="29.28515625" style="1" customWidth="1"/>
    <col min="3" max="8" width="16" style="1" customWidth="1"/>
    <col min="9" max="16384" width="9.140625" style="1"/>
  </cols>
  <sheetData>
    <row r="1" spans="1:8" ht="15.75">
      <c r="A1" s="99" t="s">
        <v>133</v>
      </c>
      <c r="B1" s="99"/>
      <c r="C1" s="99"/>
      <c r="D1" s="99"/>
      <c r="E1" s="99"/>
      <c r="F1" s="99"/>
      <c r="G1" s="99"/>
      <c r="H1" s="99"/>
    </row>
    <row r="3" spans="1:8">
      <c r="A3" s="102" t="s">
        <v>23</v>
      </c>
      <c r="B3" s="102" t="s">
        <v>73</v>
      </c>
      <c r="C3" s="102" t="s">
        <v>40</v>
      </c>
      <c r="D3" s="102" t="s">
        <v>126</v>
      </c>
      <c r="E3" s="102" t="s">
        <v>36</v>
      </c>
      <c r="F3" s="102"/>
      <c r="G3" s="102"/>
      <c r="H3" s="102"/>
    </row>
    <row r="4" spans="1:8" ht="60">
      <c r="A4" s="102"/>
      <c r="B4" s="102"/>
      <c r="C4" s="102"/>
      <c r="D4" s="102"/>
      <c r="E4" s="48" t="s">
        <v>37</v>
      </c>
      <c r="F4" s="48" t="s">
        <v>38</v>
      </c>
      <c r="G4" s="48" t="s">
        <v>39</v>
      </c>
      <c r="H4" s="48" t="s">
        <v>129</v>
      </c>
    </row>
    <row r="5" spans="1:8">
      <c r="A5" s="31">
        <v>1</v>
      </c>
      <c r="B5" s="24" t="s">
        <v>257</v>
      </c>
      <c r="C5" s="24">
        <v>1</v>
      </c>
      <c r="D5" s="24">
        <v>10</v>
      </c>
      <c r="E5" s="24">
        <v>0</v>
      </c>
      <c r="F5" s="24">
        <v>10</v>
      </c>
      <c r="G5" s="24">
        <v>0</v>
      </c>
      <c r="H5" s="24">
        <v>0</v>
      </c>
    </row>
    <row r="6" spans="1:8">
      <c r="A6" s="31">
        <v>2</v>
      </c>
      <c r="B6" s="24" t="s">
        <v>258</v>
      </c>
      <c r="C6" s="24">
        <v>3</v>
      </c>
      <c r="D6" s="24">
        <v>6.8456000000000001</v>
      </c>
      <c r="E6" s="24">
        <v>0</v>
      </c>
      <c r="F6" s="24">
        <v>6.8456000000000001</v>
      </c>
      <c r="G6" s="24">
        <v>0</v>
      </c>
      <c r="H6" s="24">
        <v>0</v>
      </c>
    </row>
    <row r="7" spans="1:8">
      <c r="A7" s="31">
        <v>3</v>
      </c>
      <c r="B7" s="24" t="s">
        <v>259</v>
      </c>
      <c r="C7" s="24">
        <v>2</v>
      </c>
      <c r="D7" s="24">
        <v>12</v>
      </c>
      <c r="E7" s="24">
        <v>0</v>
      </c>
      <c r="F7" s="24">
        <v>12</v>
      </c>
      <c r="G7" s="24">
        <v>0</v>
      </c>
      <c r="H7" s="24">
        <v>0</v>
      </c>
    </row>
    <row r="8" spans="1:8">
      <c r="A8" s="31">
        <v>4</v>
      </c>
      <c r="B8" s="24" t="s">
        <v>250</v>
      </c>
      <c r="C8" s="24">
        <v>3</v>
      </c>
      <c r="D8" s="24">
        <v>9.6</v>
      </c>
      <c r="E8" s="24">
        <v>0</v>
      </c>
      <c r="F8" s="24">
        <v>9.6</v>
      </c>
      <c r="G8" s="24">
        <v>0</v>
      </c>
      <c r="H8" s="24">
        <v>0</v>
      </c>
    </row>
    <row r="9" spans="1:8">
      <c r="A9" s="31">
        <v>5</v>
      </c>
      <c r="B9" s="24" t="s">
        <v>260</v>
      </c>
      <c r="C9" s="24">
        <v>1</v>
      </c>
      <c r="D9" s="24">
        <v>4.5</v>
      </c>
      <c r="E9" s="24">
        <v>0</v>
      </c>
      <c r="F9" s="24">
        <v>4.5</v>
      </c>
      <c r="G9" s="24">
        <v>0</v>
      </c>
      <c r="H9" s="24">
        <v>0</v>
      </c>
    </row>
    <row r="10" spans="1:8">
      <c r="A10" s="31">
        <v>6</v>
      </c>
      <c r="B10" s="24" t="s">
        <v>261</v>
      </c>
      <c r="C10" s="24">
        <v>1</v>
      </c>
      <c r="D10" s="24">
        <v>9.8680000000000003</v>
      </c>
      <c r="E10" s="24">
        <v>0</v>
      </c>
      <c r="F10" s="24">
        <v>9.8680000000000003</v>
      </c>
      <c r="G10" s="24">
        <v>0</v>
      </c>
      <c r="H10" s="24">
        <v>0</v>
      </c>
    </row>
    <row r="11" spans="1:8" ht="30">
      <c r="A11" s="31">
        <v>7</v>
      </c>
      <c r="B11" s="24" t="s">
        <v>297</v>
      </c>
      <c r="C11" s="24">
        <v>1</v>
      </c>
      <c r="D11" s="24">
        <v>227.04</v>
      </c>
      <c r="E11" s="24">
        <v>0</v>
      </c>
      <c r="F11" s="24">
        <v>227.04</v>
      </c>
      <c r="G11" s="24">
        <v>0</v>
      </c>
      <c r="H11" s="24">
        <v>0</v>
      </c>
    </row>
    <row r="12" spans="1:8">
      <c r="A12" s="31"/>
      <c r="B12" s="24"/>
      <c r="C12" s="24"/>
      <c r="D12" s="24"/>
      <c r="E12" s="24"/>
      <c r="F12" s="24"/>
      <c r="G12" s="24"/>
      <c r="H12" s="24"/>
    </row>
    <row r="13" spans="1:8">
      <c r="A13" s="31"/>
      <c r="B13" s="24"/>
      <c r="C13" s="24"/>
      <c r="D13" s="24"/>
      <c r="E13" s="24"/>
      <c r="F13" s="24"/>
      <c r="G13" s="24"/>
      <c r="H13" s="24"/>
    </row>
    <row r="14" spans="1:8">
      <c r="A14" s="31"/>
      <c r="B14" s="24"/>
      <c r="C14" s="24"/>
      <c r="D14" s="24"/>
      <c r="E14" s="24"/>
      <c r="F14" s="24"/>
      <c r="G14" s="24"/>
      <c r="H14" s="24"/>
    </row>
    <row r="15" spans="1:8">
      <c r="A15" s="31"/>
      <c r="B15" s="24"/>
      <c r="C15" s="24"/>
      <c r="D15" s="24"/>
      <c r="E15" s="24"/>
      <c r="F15" s="24"/>
      <c r="G15" s="24"/>
      <c r="H15" s="24"/>
    </row>
    <row r="16" spans="1:8">
      <c r="A16" s="31"/>
      <c r="B16" s="24"/>
      <c r="C16" s="24"/>
      <c r="D16" s="24"/>
      <c r="E16" s="24"/>
      <c r="F16" s="24"/>
      <c r="G16" s="24"/>
      <c r="H16" s="24"/>
    </row>
    <row r="17" spans="1:8">
      <c r="A17" s="31"/>
      <c r="B17" s="24"/>
      <c r="C17" s="24"/>
      <c r="D17" s="24"/>
      <c r="E17" s="24"/>
      <c r="F17" s="24"/>
      <c r="G17" s="24"/>
      <c r="H17" s="24"/>
    </row>
    <row r="18" spans="1:8">
      <c r="A18" s="31"/>
      <c r="B18" s="24"/>
      <c r="C18" s="24"/>
      <c r="D18" s="24"/>
      <c r="E18" s="24"/>
      <c r="F18" s="24"/>
      <c r="G18" s="24"/>
      <c r="H18" s="24"/>
    </row>
    <row r="19" spans="1:8">
      <c r="A19" s="31"/>
      <c r="B19" s="24"/>
      <c r="C19" s="24"/>
      <c r="D19" s="24"/>
      <c r="E19" s="24"/>
      <c r="F19" s="24"/>
      <c r="G19" s="24"/>
      <c r="H19" s="24"/>
    </row>
  </sheetData>
  <sheetProtection selectLockedCells="1"/>
  <mergeCells count="6">
    <mergeCell ref="A1:H1"/>
    <mergeCell ref="A3:A4"/>
    <mergeCell ref="B3:B4"/>
    <mergeCell ref="C3:C4"/>
    <mergeCell ref="D3:D4"/>
    <mergeCell ref="E3:H3"/>
  </mergeCells>
  <conditionalFormatting sqref="E5:H19 B5:C19">
    <cfRule type="cellIs" dxfId="23" priority="6" operator="greaterThan">
      <formula>0</formula>
    </cfRule>
  </conditionalFormatting>
  <conditionalFormatting sqref="D5:D19">
    <cfRule type="cellIs" dxfId="22" priority="5" operator="between">
      <formula>0.001</formula>
      <formula>9999999</formula>
    </cfRule>
  </conditionalFormatting>
  <conditionalFormatting sqref="A5:A19">
    <cfRule type="notContainsBlanks" dxfId="21" priority="3">
      <formula>LEN(TRIM(A5))&gt;0</formula>
    </cfRule>
  </conditionalFormatting>
  <conditionalFormatting sqref="F6">
    <cfRule type="cellIs" dxfId="20" priority="2" operator="between">
      <formula>0.001</formula>
      <formula>9999999</formula>
    </cfRule>
  </conditionalFormatting>
  <conditionalFormatting sqref="F10">
    <cfRule type="cellIs" dxfId="19" priority="1" operator="between">
      <formula>0.001</formula>
      <formula>9999999</formula>
    </cfRule>
  </conditionalFormatting>
  <dataValidations count="2">
    <dataValidation type="whole" allowBlank="1" showInputMessage="1" showErrorMessage="1" sqref="C5:C19">
      <formula1>1</formula1>
      <formula2>9999</formula2>
    </dataValidation>
    <dataValidation type="decimal" allowBlank="1" showInputMessage="1" showErrorMessage="1" sqref="D5:G19">
      <formula1>0</formula1>
      <formula2>10000</formula2>
    </dataValidation>
  </dataValidations>
  <pageMargins left="0.7" right="0.7" top="0.75" bottom="0.75" header="0.3" footer="0.3"/>
  <pageSetup paperSize="9" orientation="landscape" r:id="rId1"/>
  <headerFooter>
    <oddHeader>&amp;R&amp;"Times New Roman,обычный"&amp;10Анализ деятельности образовательного учреждения культурыпо итогам 2020-2021 учебного года</oddHeader>
    <oddFooter>&amp;C&amp;P</oddFooter>
  </headerFooter>
</worksheet>
</file>

<file path=xl/worksheets/sheet11.xml><?xml version="1.0" encoding="utf-8"?>
<worksheet xmlns="http://schemas.openxmlformats.org/spreadsheetml/2006/main" xmlns:r="http://schemas.openxmlformats.org/officeDocument/2006/relationships">
  <dimension ref="A1:E33"/>
  <sheetViews>
    <sheetView showWhiteSpace="0" view="pageLayout" topLeftCell="A4" workbookViewId="0">
      <selection activeCell="B7" sqref="B7"/>
    </sheetView>
  </sheetViews>
  <sheetFormatPr defaultRowHeight="15"/>
  <cols>
    <col min="1" max="1" width="27.85546875" style="1" customWidth="1"/>
    <col min="2" max="2" width="14.5703125" style="1" customWidth="1"/>
    <col min="3" max="3" width="15.85546875" style="1" customWidth="1"/>
    <col min="4" max="5" width="14.5703125" style="1" customWidth="1"/>
    <col min="6" max="16384" width="9.140625" style="1"/>
  </cols>
  <sheetData>
    <row r="1" spans="1:5" ht="15.75">
      <c r="A1" s="99" t="s">
        <v>134</v>
      </c>
      <c r="B1" s="99"/>
      <c r="C1" s="99"/>
      <c r="D1" s="99"/>
      <c r="E1" s="99"/>
    </row>
    <row r="3" spans="1:5" ht="45" customHeight="1">
      <c r="A3" s="102" t="s">
        <v>42</v>
      </c>
      <c r="B3" s="102" t="s">
        <v>47</v>
      </c>
      <c r="C3" s="102"/>
      <c r="D3" s="102" t="s">
        <v>45</v>
      </c>
      <c r="E3" s="102" t="s">
        <v>46</v>
      </c>
    </row>
    <row r="4" spans="1:5" ht="60" customHeight="1">
      <c r="A4" s="102"/>
      <c r="B4" s="48" t="s">
        <v>43</v>
      </c>
      <c r="C4" s="48" t="s">
        <v>44</v>
      </c>
      <c r="D4" s="102"/>
      <c r="E4" s="102"/>
    </row>
    <row r="5" spans="1:5">
      <c r="A5" s="51" t="s">
        <v>48</v>
      </c>
      <c r="B5" s="50">
        <v>2</v>
      </c>
      <c r="C5" s="50">
        <v>0</v>
      </c>
      <c r="D5" s="50">
        <v>0</v>
      </c>
      <c r="E5" s="28">
        <f>IF((B5+C5)&gt;0, D5*100/(B5+C5), B5+C5)</f>
        <v>0</v>
      </c>
    </row>
    <row r="6" spans="1:5">
      <c r="A6" s="51" t="s">
        <v>49</v>
      </c>
      <c r="B6" s="50">
        <v>18</v>
      </c>
      <c r="C6" s="50">
        <v>0</v>
      </c>
      <c r="D6" s="50">
        <v>4</v>
      </c>
      <c r="E6" s="28">
        <f t="shared" ref="E6:E33" si="0">IF((B6+C6)&gt;0, D6*100/(B6+C6), B6+C6)</f>
        <v>22.222222222222221</v>
      </c>
    </row>
    <row r="7" spans="1:5">
      <c r="A7" s="51" t="s">
        <v>50</v>
      </c>
      <c r="B7" s="50">
        <v>8</v>
      </c>
      <c r="C7" s="50">
        <v>0</v>
      </c>
      <c r="D7" s="50">
        <v>0</v>
      </c>
      <c r="E7" s="28">
        <f t="shared" si="0"/>
        <v>0</v>
      </c>
    </row>
    <row r="8" spans="1:5">
      <c r="A8" s="51" t="s">
        <v>51</v>
      </c>
      <c r="B8" s="50">
        <v>0</v>
      </c>
      <c r="C8" s="50">
        <v>0</v>
      </c>
      <c r="D8" s="50">
        <v>0</v>
      </c>
      <c r="E8" s="28">
        <f t="shared" si="0"/>
        <v>0</v>
      </c>
    </row>
    <row r="9" spans="1:5">
      <c r="A9" s="51" t="s">
        <v>52</v>
      </c>
      <c r="B9" s="50">
        <v>0</v>
      </c>
      <c r="C9" s="50">
        <v>0</v>
      </c>
      <c r="D9" s="50">
        <v>0</v>
      </c>
      <c r="E9" s="28">
        <f t="shared" si="0"/>
        <v>0</v>
      </c>
    </row>
    <row r="10" spans="1:5">
      <c r="A10" s="51" t="s">
        <v>53</v>
      </c>
      <c r="B10" s="50">
        <v>0</v>
      </c>
      <c r="C10" s="50">
        <v>0</v>
      </c>
      <c r="D10" s="50">
        <v>0</v>
      </c>
      <c r="E10" s="28">
        <f t="shared" si="0"/>
        <v>0</v>
      </c>
    </row>
    <row r="11" spans="1:5">
      <c r="A11" s="51" t="s">
        <v>54</v>
      </c>
      <c r="B11" s="50">
        <v>0</v>
      </c>
      <c r="C11" s="50">
        <v>0</v>
      </c>
      <c r="D11" s="50">
        <v>0</v>
      </c>
      <c r="E11" s="28">
        <f t="shared" si="0"/>
        <v>0</v>
      </c>
    </row>
    <row r="12" spans="1:5">
      <c r="A12" s="51" t="s">
        <v>55</v>
      </c>
      <c r="B12" s="50">
        <v>0</v>
      </c>
      <c r="C12" s="50">
        <v>0</v>
      </c>
      <c r="D12" s="50">
        <v>0</v>
      </c>
      <c r="E12" s="28">
        <f t="shared" si="0"/>
        <v>0</v>
      </c>
    </row>
    <row r="13" spans="1:5">
      <c r="A13" s="51" t="s">
        <v>56</v>
      </c>
      <c r="B13" s="50">
        <v>0</v>
      </c>
      <c r="C13" s="50">
        <v>0</v>
      </c>
      <c r="D13" s="50">
        <v>0</v>
      </c>
      <c r="E13" s="28">
        <f t="shared" si="0"/>
        <v>0</v>
      </c>
    </row>
    <row r="14" spans="1:5">
      <c r="A14" s="51" t="s">
        <v>57</v>
      </c>
      <c r="B14" s="50">
        <v>0</v>
      </c>
      <c r="C14" s="50">
        <v>0</v>
      </c>
      <c r="D14" s="50">
        <v>0</v>
      </c>
      <c r="E14" s="28">
        <f t="shared" si="0"/>
        <v>0</v>
      </c>
    </row>
    <row r="15" spans="1:5">
      <c r="A15" s="51" t="s">
        <v>58</v>
      </c>
      <c r="B15" s="50">
        <v>0</v>
      </c>
      <c r="C15" s="50">
        <v>0</v>
      </c>
      <c r="D15" s="50">
        <v>0</v>
      </c>
      <c r="E15" s="28">
        <f t="shared" si="0"/>
        <v>0</v>
      </c>
    </row>
    <row r="16" spans="1:5">
      <c r="A16" s="51" t="s">
        <v>59</v>
      </c>
      <c r="B16" s="50">
        <v>1</v>
      </c>
      <c r="C16" s="50">
        <v>0</v>
      </c>
      <c r="D16" s="50">
        <v>0</v>
      </c>
      <c r="E16" s="28">
        <f t="shared" si="0"/>
        <v>0</v>
      </c>
    </row>
    <row r="17" spans="1:5">
      <c r="A17" s="51" t="s">
        <v>60</v>
      </c>
      <c r="B17" s="50">
        <v>0</v>
      </c>
      <c r="C17" s="50">
        <v>0</v>
      </c>
      <c r="D17" s="50">
        <v>0</v>
      </c>
      <c r="E17" s="28">
        <f t="shared" si="0"/>
        <v>0</v>
      </c>
    </row>
    <row r="18" spans="1:5">
      <c r="A18" s="51" t="s">
        <v>61</v>
      </c>
      <c r="B18" s="50">
        <v>0</v>
      </c>
      <c r="C18" s="50">
        <v>0</v>
      </c>
      <c r="D18" s="50">
        <v>0</v>
      </c>
      <c r="E18" s="28">
        <f t="shared" si="0"/>
        <v>0</v>
      </c>
    </row>
    <row r="19" spans="1:5">
      <c r="A19" s="51" t="s">
        <v>62</v>
      </c>
      <c r="B19" s="50">
        <v>0</v>
      </c>
      <c r="C19" s="50">
        <v>0</v>
      </c>
      <c r="D19" s="50">
        <v>0</v>
      </c>
      <c r="E19" s="28">
        <f t="shared" si="0"/>
        <v>0</v>
      </c>
    </row>
    <row r="20" spans="1:5">
      <c r="A20" s="51" t="s">
        <v>63</v>
      </c>
      <c r="B20" s="50">
        <v>0</v>
      </c>
      <c r="C20" s="50">
        <v>0</v>
      </c>
      <c r="D20" s="50">
        <v>0</v>
      </c>
      <c r="E20" s="28">
        <f t="shared" si="0"/>
        <v>0</v>
      </c>
    </row>
    <row r="21" spans="1:5">
      <c r="A21" s="51" t="s">
        <v>64</v>
      </c>
      <c r="B21" s="50">
        <v>2</v>
      </c>
      <c r="C21" s="50">
        <v>0</v>
      </c>
      <c r="D21" s="50">
        <v>0</v>
      </c>
      <c r="E21" s="28">
        <f t="shared" si="0"/>
        <v>0</v>
      </c>
    </row>
    <row r="22" spans="1:5" ht="30">
      <c r="A22" s="29" t="s">
        <v>71</v>
      </c>
      <c r="B22" s="50">
        <v>16</v>
      </c>
      <c r="C22" s="50">
        <v>0</v>
      </c>
      <c r="D22" s="50">
        <v>0</v>
      </c>
      <c r="E22" s="28">
        <f t="shared" si="0"/>
        <v>0</v>
      </c>
    </row>
    <row r="23" spans="1:5">
      <c r="A23" s="51" t="s">
        <v>65</v>
      </c>
      <c r="B23" s="50">
        <v>19</v>
      </c>
      <c r="C23" s="50">
        <v>0</v>
      </c>
      <c r="D23" s="50">
        <v>2</v>
      </c>
      <c r="E23" s="28">
        <f t="shared" si="0"/>
        <v>10.526315789473685</v>
      </c>
    </row>
    <row r="24" spans="1:5">
      <c r="A24" s="51" t="s">
        <v>66</v>
      </c>
      <c r="B24" s="50">
        <v>10</v>
      </c>
      <c r="C24" s="50">
        <v>0</v>
      </c>
      <c r="D24" s="50">
        <v>1</v>
      </c>
      <c r="E24" s="28">
        <f t="shared" si="0"/>
        <v>10</v>
      </c>
    </row>
    <row r="25" spans="1:5">
      <c r="A25" s="51" t="s">
        <v>67</v>
      </c>
      <c r="B25" s="50">
        <v>23</v>
      </c>
      <c r="C25" s="50">
        <v>0</v>
      </c>
      <c r="D25" s="50">
        <v>0</v>
      </c>
      <c r="E25" s="28">
        <f t="shared" si="0"/>
        <v>0</v>
      </c>
    </row>
    <row r="26" spans="1:5">
      <c r="A26" s="51" t="s">
        <v>68</v>
      </c>
      <c r="B26" s="50">
        <v>7</v>
      </c>
      <c r="C26" s="50">
        <v>0</v>
      </c>
      <c r="D26" s="50">
        <v>0</v>
      </c>
      <c r="E26" s="28">
        <f t="shared" si="0"/>
        <v>0</v>
      </c>
    </row>
    <row r="27" spans="1:5">
      <c r="A27" s="51" t="s">
        <v>69</v>
      </c>
      <c r="B27" s="50">
        <v>0</v>
      </c>
      <c r="C27" s="50">
        <v>0</v>
      </c>
      <c r="D27" s="50">
        <v>0</v>
      </c>
      <c r="E27" s="28">
        <f t="shared" si="0"/>
        <v>0</v>
      </c>
    </row>
    <row r="28" spans="1:5">
      <c r="A28" s="51" t="s">
        <v>70</v>
      </c>
      <c r="B28" s="50"/>
      <c r="C28" s="50"/>
      <c r="D28" s="50"/>
      <c r="E28" s="28">
        <f t="shared" si="0"/>
        <v>0</v>
      </c>
    </row>
    <row r="29" spans="1:5">
      <c r="A29" s="51" t="s">
        <v>127</v>
      </c>
      <c r="B29" s="75">
        <f>B30+B31+B32</f>
        <v>0</v>
      </c>
      <c r="C29" s="75">
        <f>C30+C31+C32</f>
        <v>0</v>
      </c>
      <c r="D29" s="75">
        <f>D30+D31+D32</f>
        <v>0</v>
      </c>
      <c r="E29" s="28">
        <f t="shared" si="0"/>
        <v>0</v>
      </c>
    </row>
    <row r="30" spans="1:5">
      <c r="A30" s="77" t="s">
        <v>128</v>
      </c>
      <c r="B30" s="50"/>
      <c r="C30" s="50"/>
      <c r="D30" s="50"/>
      <c r="E30" s="28">
        <f t="shared" si="0"/>
        <v>0</v>
      </c>
    </row>
    <row r="31" spans="1:5">
      <c r="A31" s="77" t="s">
        <v>128</v>
      </c>
      <c r="B31" s="50"/>
      <c r="C31" s="50"/>
      <c r="D31" s="50"/>
      <c r="E31" s="28">
        <f t="shared" si="0"/>
        <v>0</v>
      </c>
    </row>
    <row r="32" spans="1:5">
      <c r="A32" s="77" t="s">
        <v>128</v>
      </c>
      <c r="B32" s="50"/>
      <c r="C32" s="50"/>
      <c r="D32" s="50"/>
      <c r="E32" s="28">
        <f t="shared" si="0"/>
        <v>0</v>
      </c>
    </row>
    <row r="33" spans="1:5">
      <c r="A33" s="32" t="s">
        <v>72</v>
      </c>
      <c r="B33" s="55">
        <f>SUM(B5:B29)</f>
        <v>106</v>
      </c>
      <c r="C33" s="55">
        <f t="shared" ref="C33:D33" si="1">SUM(C5:C29)</f>
        <v>0</v>
      </c>
      <c r="D33" s="55">
        <f t="shared" si="1"/>
        <v>7</v>
      </c>
      <c r="E33" s="76">
        <f t="shared" si="0"/>
        <v>6.6037735849056602</v>
      </c>
    </row>
  </sheetData>
  <sheetProtection password="CC5B" sheet="1" objects="1" scenarios="1" selectLockedCells="1"/>
  <mergeCells count="5">
    <mergeCell ref="A1:E1"/>
    <mergeCell ref="A3:A4"/>
    <mergeCell ref="B3:C3"/>
    <mergeCell ref="D3:D4"/>
    <mergeCell ref="E3:E4"/>
  </mergeCells>
  <dataValidations count="1">
    <dataValidation type="whole" allowBlank="1" showInputMessage="1" showErrorMessage="1" sqref="B5:D32">
      <formula1>0</formula1>
      <formula2>100</formula2>
    </dataValidation>
  </dataValidations>
  <pageMargins left="0.7" right="0.7" top="0.75" bottom="0.75" header="0.3" footer="0.3"/>
  <pageSetup paperSize="9" orientation="portrait" r:id="rId1"/>
  <headerFooter>
    <oddHeader>&amp;R&amp;"Times New Roman,обычный"&amp;10Анализ деятельности образовательного учреждения культурыпо итогам 2020-2021 учебного года</oddHeader>
    <oddFooter>&amp;C&amp;P</oddFooter>
  </headerFooter>
</worksheet>
</file>

<file path=xl/worksheets/sheet12.xml><?xml version="1.0" encoding="utf-8"?>
<worksheet xmlns="http://schemas.openxmlformats.org/spreadsheetml/2006/main" xmlns:r="http://schemas.openxmlformats.org/officeDocument/2006/relationships">
  <dimension ref="A1:I19"/>
  <sheetViews>
    <sheetView showWhiteSpace="0" view="pageLayout" workbookViewId="0">
      <selection activeCell="C5" sqref="C5"/>
    </sheetView>
  </sheetViews>
  <sheetFormatPr defaultRowHeight="15"/>
  <cols>
    <col min="1" max="1" width="11.7109375" style="1" customWidth="1"/>
    <col min="2" max="16384" width="9.140625" style="1"/>
  </cols>
  <sheetData>
    <row r="1" spans="1:9" ht="15.75">
      <c r="A1" s="99" t="s">
        <v>96</v>
      </c>
      <c r="B1" s="99"/>
      <c r="C1" s="99"/>
      <c r="D1" s="99"/>
      <c r="E1" s="99"/>
      <c r="F1" s="99"/>
      <c r="G1" s="99"/>
      <c r="H1" s="99"/>
      <c r="I1" s="99"/>
    </row>
    <row r="2" spans="1:9" ht="15.75">
      <c r="A2" s="30"/>
      <c r="B2" s="30"/>
      <c r="C2" s="30"/>
      <c r="D2" s="30"/>
      <c r="E2" s="49"/>
      <c r="F2" s="49"/>
      <c r="G2" s="49"/>
      <c r="H2" s="49"/>
      <c r="I2" s="49"/>
    </row>
    <row r="3" spans="1:9">
      <c r="A3" s="130" t="s">
        <v>135</v>
      </c>
      <c r="B3" s="130"/>
      <c r="C3" s="131" t="s">
        <v>185</v>
      </c>
      <c r="D3" s="132"/>
      <c r="E3" s="132"/>
      <c r="F3" s="132"/>
      <c r="G3" s="132"/>
      <c r="H3" s="132"/>
      <c r="I3" s="132"/>
    </row>
    <row r="4" spans="1:9">
      <c r="A4" s="78"/>
      <c r="B4" s="78"/>
      <c r="C4" s="132"/>
      <c r="D4" s="132"/>
      <c r="E4" s="132"/>
      <c r="F4" s="132"/>
      <c r="G4" s="132"/>
      <c r="H4" s="132"/>
      <c r="I4" s="132"/>
    </row>
    <row r="5" spans="1:9">
      <c r="A5" s="78"/>
      <c r="B5" s="78"/>
      <c r="C5" s="3"/>
      <c r="D5" s="3"/>
      <c r="E5" s="3"/>
      <c r="F5" s="3"/>
      <c r="G5" s="3"/>
      <c r="H5" s="3"/>
      <c r="I5" s="3"/>
    </row>
    <row r="6" spans="1:9">
      <c r="A6" s="130" t="s">
        <v>136</v>
      </c>
      <c r="B6" s="130"/>
      <c r="C6" s="131" t="s">
        <v>181</v>
      </c>
      <c r="D6" s="132"/>
      <c r="E6" s="132"/>
      <c r="F6" s="132"/>
      <c r="G6" s="132"/>
      <c r="H6" s="132"/>
      <c r="I6" s="132"/>
    </row>
    <row r="7" spans="1:9">
      <c r="A7" s="78"/>
      <c r="B7" s="78"/>
      <c r="C7" s="132"/>
      <c r="D7" s="132"/>
      <c r="E7" s="132"/>
      <c r="F7" s="132"/>
      <c r="G7" s="132"/>
      <c r="H7" s="132"/>
      <c r="I7" s="132"/>
    </row>
    <row r="8" spans="1:9">
      <c r="A8" s="78"/>
      <c r="B8" s="78"/>
      <c r="C8" s="3"/>
      <c r="D8" s="3"/>
      <c r="E8" s="3"/>
      <c r="F8" s="3"/>
      <c r="G8" s="3"/>
      <c r="H8" s="3"/>
      <c r="I8" s="3"/>
    </row>
    <row r="9" spans="1:9">
      <c r="A9" s="130" t="s">
        <v>137</v>
      </c>
      <c r="B9" s="130"/>
      <c r="C9" s="131" t="s">
        <v>180</v>
      </c>
      <c r="D9" s="132"/>
      <c r="E9" s="132"/>
      <c r="F9" s="132"/>
      <c r="G9" s="132"/>
      <c r="H9" s="132"/>
      <c r="I9" s="132"/>
    </row>
    <row r="10" spans="1:9">
      <c r="A10" s="78"/>
      <c r="B10" s="78"/>
      <c r="C10" s="132"/>
      <c r="D10" s="132"/>
      <c r="E10" s="132"/>
      <c r="F10" s="132"/>
      <c r="G10" s="132"/>
      <c r="H10" s="132"/>
      <c r="I10" s="132"/>
    </row>
    <row r="11" spans="1:9">
      <c r="A11" s="78"/>
      <c r="B11" s="78"/>
      <c r="C11" s="3"/>
      <c r="D11" s="3"/>
      <c r="E11" s="3"/>
      <c r="F11" s="3"/>
      <c r="G11" s="3"/>
      <c r="H11" s="3"/>
      <c r="I11" s="3"/>
    </row>
    <row r="12" spans="1:9">
      <c r="A12" s="130" t="s">
        <v>138</v>
      </c>
      <c r="B12" s="130"/>
      <c r="C12" s="131" t="s">
        <v>182</v>
      </c>
      <c r="D12" s="132"/>
      <c r="E12" s="132"/>
      <c r="F12" s="132"/>
      <c r="G12" s="132"/>
      <c r="H12" s="132"/>
      <c r="I12" s="132"/>
    </row>
    <row r="13" spans="1:9">
      <c r="A13" s="78"/>
      <c r="B13" s="78"/>
      <c r="C13" s="132"/>
      <c r="D13" s="132"/>
      <c r="E13" s="132"/>
      <c r="F13" s="132"/>
      <c r="G13" s="132"/>
      <c r="H13" s="132"/>
      <c r="I13" s="132"/>
    </row>
    <row r="14" spans="1:9">
      <c r="A14" s="78"/>
      <c r="B14" s="78"/>
      <c r="C14" s="3"/>
      <c r="D14" s="3"/>
      <c r="E14" s="3"/>
      <c r="F14" s="3"/>
      <c r="G14" s="3"/>
      <c r="H14" s="3"/>
      <c r="I14" s="3"/>
    </row>
    <row r="15" spans="1:9">
      <c r="A15" s="130" t="s">
        <v>139</v>
      </c>
      <c r="B15" s="130"/>
      <c r="C15" s="131" t="s">
        <v>184</v>
      </c>
      <c r="D15" s="132"/>
      <c r="E15" s="132"/>
      <c r="F15" s="132"/>
      <c r="G15" s="132"/>
      <c r="H15" s="132"/>
      <c r="I15" s="132"/>
    </row>
    <row r="16" spans="1:9">
      <c r="A16" s="78"/>
      <c r="B16" s="78"/>
      <c r="C16" s="132"/>
      <c r="D16" s="132"/>
      <c r="E16" s="132"/>
      <c r="F16" s="132"/>
      <c r="G16" s="132"/>
      <c r="H16" s="132"/>
      <c r="I16" s="132"/>
    </row>
    <row r="17" spans="1:9">
      <c r="A17" s="78"/>
      <c r="B17" s="78"/>
      <c r="C17" s="3"/>
      <c r="D17" s="3"/>
      <c r="E17" s="3"/>
      <c r="F17" s="3"/>
      <c r="G17" s="3"/>
      <c r="H17" s="3"/>
      <c r="I17" s="3"/>
    </row>
    <row r="18" spans="1:9">
      <c r="A18" s="130" t="s">
        <v>140</v>
      </c>
      <c r="B18" s="130"/>
      <c r="C18" s="131" t="s">
        <v>183</v>
      </c>
      <c r="D18" s="132"/>
      <c r="E18" s="132"/>
      <c r="F18" s="132"/>
      <c r="G18" s="132"/>
      <c r="H18" s="132"/>
      <c r="I18" s="132"/>
    </row>
    <row r="19" spans="1:9">
      <c r="C19" s="132"/>
      <c r="D19" s="132"/>
      <c r="E19" s="132"/>
      <c r="F19" s="132"/>
      <c r="G19" s="132"/>
      <c r="H19" s="132"/>
      <c r="I19" s="132"/>
    </row>
  </sheetData>
  <sheetProtection selectLockedCells="1"/>
  <mergeCells count="13">
    <mergeCell ref="A15:B15"/>
    <mergeCell ref="A18:B18"/>
    <mergeCell ref="C3:I4"/>
    <mergeCell ref="C6:I7"/>
    <mergeCell ref="C9:I10"/>
    <mergeCell ref="C12:I13"/>
    <mergeCell ref="C15:I16"/>
    <mergeCell ref="C18:I19"/>
    <mergeCell ref="A1:I1"/>
    <mergeCell ref="A3:B3"/>
    <mergeCell ref="A6:B6"/>
    <mergeCell ref="A9:B9"/>
    <mergeCell ref="A12:B12"/>
  </mergeCells>
  <hyperlinks>
    <hyperlink ref="C9" r:id="rId1"/>
    <hyperlink ref="C6" r:id="rId2"/>
    <hyperlink ref="C12" r:id="rId3"/>
    <hyperlink ref="C18" r:id="rId4"/>
    <hyperlink ref="C15" r:id="rId5"/>
    <hyperlink ref="C3" r:id="rId6"/>
  </hyperlinks>
  <pageMargins left="0.7" right="0.7" top="0.75" bottom="0.75" header="0.3" footer="0.3"/>
  <pageSetup paperSize="9" orientation="portrait" r:id="rId7"/>
  <headerFooter>
    <oddHeader>&amp;R&amp;"Times New Roman,обычный"&amp;10Анализ деятельности образовательного учреждения культурыпо итогам 2020-2021 учебного года</oddHeader>
    <oddFooter>&amp;C&amp;P</oddFooter>
  </headerFooter>
</worksheet>
</file>

<file path=xl/worksheets/sheet13.xml><?xml version="1.0" encoding="utf-8"?>
<worksheet xmlns="http://schemas.openxmlformats.org/spreadsheetml/2006/main" xmlns:r="http://schemas.openxmlformats.org/officeDocument/2006/relationships">
  <dimension ref="A1:E23"/>
  <sheetViews>
    <sheetView showWhiteSpace="0" view="pageLayout" workbookViewId="0">
      <selection activeCell="D14" sqref="D14"/>
    </sheetView>
  </sheetViews>
  <sheetFormatPr defaultRowHeight="15"/>
  <cols>
    <col min="1" max="1" width="5" style="1" customWidth="1"/>
    <col min="2" max="3" width="48.5703125" style="1" customWidth="1"/>
    <col min="4" max="4" width="16" style="1" customWidth="1"/>
    <col min="5" max="5" width="12.7109375" style="1" customWidth="1"/>
    <col min="6" max="16384" width="9.140625" style="1"/>
  </cols>
  <sheetData>
    <row r="1" spans="1:5" ht="15.75">
      <c r="A1" s="99" t="s">
        <v>141</v>
      </c>
      <c r="B1" s="99"/>
      <c r="C1" s="99"/>
      <c r="D1" s="99"/>
      <c r="E1" s="99"/>
    </row>
    <row r="3" spans="1:5" ht="30" customHeight="1">
      <c r="A3" s="34" t="s">
        <v>23</v>
      </c>
      <c r="B3" s="34" t="s">
        <v>76</v>
      </c>
      <c r="C3" s="34" t="s">
        <v>77</v>
      </c>
      <c r="D3" s="34" t="s">
        <v>78</v>
      </c>
      <c r="E3" s="34" t="s">
        <v>79</v>
      </c>
    </row>
    <row r="4" spans="1:5">
      <c r="A4" s="33" t="str">
        <f>IF(OR(B4&lt;&gt;0, C4&lt;&gt;0, D4&lt;&gt;0, E4&lt;&gt;0), 1, "")</f>
        <v/>
      </c>
      <c r="B4" s="25"/>
      <c r="C4" s="25"/>
      <c r="D4" s="24"/>
      <c r="E4" s="24"/>
    </row>
    <row r="5" spans="1:5">
      <c r="A5" s="33" t="str">
        <f>IF(OR(B5&lt;&gt;0, C5&lt;&gt;0, D5&lt;&gt;0, E5&lt;&gt;0), 2, "")</f>
        <v/>
      </c>
      <c r="B5" s="25"/>
      <c r="C5" s="25"/>
      <c r="D5" s="24"/>
      <c r="E5" s="24"/>
    </row>
    <row r="6" spans="1:5">
      <c r="A6" s="33" t="str">
        <f>IF(OR(B6&lt;&gt;0, C6&lt;&gt;0, D6&lt;&gt;0, E6&lt;&gt;0), 3, "")</f>
        <v/>
      </c>
      <c r="B6" s="25"/>
      <c r="C6" s="25"/>
      <c r="D6" s="24"/>
      <c r="E6" s="24"/>
    </row>
    <row r="7" spans="1:5">
      <c r="A7" s="33" t="str">
        <f>IF(OR(B7&lt;&gt;0, C7&lt;&gt;0, D7&lt;&gt;0, E7&lt;&gt;0), 4, "")</f>
        <v/>
      </c>
      <c r="B7" s="25"/>
      <c r="C7" s="25"/>
      <c r="D7" s="24"/>
      <c r="E7" s="24"/>
    </row>
    <row r="8" spans="1:5">
      <c r="A8" s="33" t="str">
        <f>IF(OR(B8&lt;&gt;0, C8&lt;&gt;0, D8&lt;&gt;0, E8&lt;&gt;0), 5, "")</f>
        <v/>
      </c>
      <c r="B8" s="25"/>
      <c r="C8" s="25"/>
      <c r="D8" s="24"/>
      <c r="E8" s="24"/>
    </row>
    <row r="9" spans="1:5">
      <c r="A9" s="33" t="str">
        <f>IF(OR(B9&lt;&gt;0, C9&lt;&gt;0, D9&lt;&gt;0, E9&lt;&gt;0), 6, "")</f>
        <v/>
      </c>
      <c r="B9" s="25"/>
      <c r="C9" s="25"/>
      <c r="D9" s="24"/>
      <c r="E9" s="24"/>
    </row>
    <row r="10" spans="1:5">
      <c r="A10" s="33" t="str">
        <f>IF(OR(B10&lt;&gt;0, C10&lt;&gt;0, D10&lt;&gt;0, E10&lt;&gt;0), 7, "")</f>
        <v/>
      </c>
      <c r="B10" s="25"/>
      <c r="C10" s="25"/>
      <c r="D10" s="24"/>
      <c r="E10" s="24"/>
    </row>
    <row r="11" spans="1:5">
      <c r="A11" s="33" t="str">
        <f>IF(OR(B11&lt;&gt;0, C11&lt;&gt;0, D11&lt;&gt;0, E11&lt;&gt;0), 8, "")</f>
        <v/>
      </c>
      <c r="B11" s="25"/>
      <c r="C11" s="25"/>
      <c r="D11" s="24"/>
      <c r="E11" s="24"/>
    </row>
    <row r="12" spans="1:5">
      <c r="A12" s="33" t="str">
        <f>IF(OR(B12&lt;&gt;0, C12&lt;&gt;0, D12&lt;&gt;0, E12&lt;&gt;0), 9, "")</f>
        <v/>
      </c>
      <c r="B12" s="25"/>
      <c r="C12" s="25"/>
      <c r="D12" s="24"/>
      <c r="E12" s="24"/>
    </row>
    <row r="13" spans="1:5">
      <c r="A13" s="33" t="str">
        <f>IF(OR(B13&lt;&gt;0, C13&lt;&gt;0, D13&lt;&gt;0, E13&lt;&gt;0), 10, "")</f>
        <v/>
      </c>
      <c r="B13" s="25"/>
      <c r="C13" s="25"/>
      <c r="D13" s="24"/>
      <c r="E13" s="24"/>
    </row>
    <row r="14" spans="1:5">
      <c r="A14" s="33" t="str">
        <f>IF(OR(B14&lt;&gt;0, C14&lt;&gt;0, D14&lt;&gt;0, E14&lt;&gt;0), 11, "")</f>
        <v/>
      </c>
      <c r="B14" s="25"/>
      <c r="C14" s="25"/>
      <c r="D14" s="24"/>
      <c r="E14" s="24"/>
    </row>
    <row r="15" spans="1:5">
      <c r="A15" s="33" t="str">
        <f>IF(OR(B15&lt;&gt;0, C15&lt;&gt;0, D15&lt;&gt;0, E15&lt;&gt;0), 12, "")</f>
        <v/>
      </c>
      <c r="B15" s="25"/>
      <c r="C15" s="25"/>
      <c r="D15" s="24"/>
      <c r="E15" s="24"/>
    </row>
    <row r="16" spans="1:5">
      <c r="A16" s="33" t="str">
        <f>IF(OR(B16&lt;&gt;0, C16&lt;&gt;0, D16&lt;&gt;0, E16&lt;&gt;0), 13, "")</f>
        <v/>
      </c>
      <c r="B16" s="25"/>
      <c r="C16" s="25"/>
      <c r="D16" s="24"/>
      <c r="E16" s="24"/>
    </row>
    <row r="17" spans="1:5">
      <c r="A17" s="33" t="str">
        <f>IF(OR(B17&lt;&gt;0, C17&lt;&gt;0, D17&lt;&gt;0, E17&lt;&gt;0), 14, "")</f>
        <v/>
      </c>
      <c r="B17" s="25"/>
      <c r="C17" s="25"/>
      <c r="D17" s="24"/>
      <c r="E17" s="24"/>
    </row>
    <row r="18" spans="1:5">
      <c r="A18" s="33" t="str">
        <f>IF(OR(B18&lt;&gt;0, C18&lt;&gt;0, D18&lt;&gt;0, E18&lt;&gt;0), 15, "")</f>
        <v/>
      </c>
      <c r="B18" s="25"/>
      <c r="C18" s="25"/>
      <c r="D18" s="24"/>
      <c r="E18" s="24"/>
    </row>
    <row r="19" spans="1:5">
      <c r="A19" s="33" t="str">
        <f>IF(OR(B19&lt;&gt;0, C19&lt;&gt;0, D19&lt;&gt;0, E19&lt;&gt;0), 16, "")</f>
        <v/>
      </c>
      <c r="B19" s="25"/>
      <c r="C19" s="25"/>
      <c r="D19" s="24"/>
      <c r="E19" s="24"/>
    </row>
    <row r="20" spans="1:5">
      <c r="A20" s="33" t="str">
        <f>IF(OR(B20&lt;&gt;0, C20&lt;&gt;0, D20&lt;&gt;0, E20&lt;&gt;0), 17, "")</f>
        <v/>
      </c>
      <c r="B20" s="25"/>
      <c r="C20" s="25"/>
      <c r="D20" s="24"/>
      <c r="E20" s="24"/>
    </row>
    <row r="21" spans="1:5">
      <c r="A21" s="33" t="str">
        <f>IF(OR(B21&lt;&gt;0, C21&lt;&gt;0, D21&lt;&gt;0, E21&lt;&gt;0), 18, "")</f>
        <v/>
      </c>
      <c r="B21" s="25"/>
      <c r="C21" s="25"/>
      <c r="D21" s="24"/>
      <c r="E21" s="24"/>
    </row>
    <row r="22" spans="1:5">
      <c r="A22" s="33" t="str">
        <f>IF(OR(B22&lt;&gt;0, C22&lt;&gt;0, D22&lt;&gt;0, E22&lt;&gt;0), 19, "")</f>
        <v/>
      </c>
      <c r="B22" s="25"/>
      <c r="C22" s="25"/>
      <c r="D22" s="24"/>
      <c r="E22" s="24"/>
    </row>
    <row r="23" spans="1:5">
      <c r="A23" s="33" t="str">
        <f>IF(OR(B23&lt;&gt;0, C23&lt;&gt;0, D23&lt;&gt;0, E23&lt;&gt;0), 20, "")</f>
        <v/>
      </c>
      <c r="B23" s="25"/>
      <c r="C23" s="25"/>
      <c r="D23" s="24"/>
      <c r="E23" s="24"/>
    </row>
  </sheetData>
  <sheetProtection selectLockedCells="1"/>
  <mergeCells count="1">
    <mergeCell ref="A1:E1"/>
  </mergeCells>
  <conditionalFormatting sqref="A4:A23">
    <cfRule type="cellIs" dxfId="18" priority="2" operator="between">
      <formula>0</formula>
      <formula>20</formula>
    </cfRule>
  </conditionalFormatting>
  <conditionalFormatting sqref="B4:E23">
    <cfRule type="cellIs" dxfId="17" priority="1" operator="greaterThan">
      <formula>0</formula>
    </cfRule>
  </conditionalFormatting>
  <dataValidations count="2">
    <dataValidation type="whole" allowBlank="1" showInputMessage="1" showErrorMessage="1" sqref="E4:E23">
      <formula1>0</formula1>
      <formula2>50</formula2>
    </dataValidation>
    <dataValidation type="list" allowBlank="1" showInputMessage="1" showErrorMessage="1" sqref="D4:D23">
      <formula1>"Международный, Федеральный, Региональный, Муниципальный"</formula1>
    </dataValidation>
  </dataValidations>
  <pageMargins left="0.7" right="0.7" top="0.75" bottom="0.75" header="0.3" footer="0.3"/>
  <pageSetup paperSize="9" orientation="landscape" r:id="rId1"/>
  <headerFooter>
    <oddHeader>&amp;R&amp;"Times New Roman,обычный"&amp;10Анализ деятельности образовательного учреждения культурыпо итогам 2020-2021 учебного года</oddHeader>
    <oddFooter>&amp;C&amp;P</oddFooter>
  </headerFooter>
  <legacyDrawing r:id="rId2"/>
</worksheet>
</file>

<file path=xl/worksheets/sheet14.xml><?xml version="1.0" encoding="utf-8"?>
<worksheet xmlns="http://schemas.openxmlformats.org/spreadsheetml/2006/main" xmlns:r="http://schemas.openxmlformats.org/officeDocument/2006/relationships">
  <dimension ref="A1:F23"/>
  <sheetViews>
    <sheetView showWhiteSpace="0" view="pageLayout" workbookViewId="0">
      <selection activeCell="C26" sqref="C26"/>
    </sheetView>
  </sheetViews>
  <sheetFormatPr defaultRowHeight="15"/>
  <cols>
    <col min="1" max="1" width="5.42578125" style="1" customWidth="1"/>
    <col min="2" max="2" width="45.85546875" style="1" customWidth="1"/>
    <col min="3" max="3" width="16.28515625" style="1" customWidth="1"/>
    <col min="4" max="4" width="17.5703125" style="1" customWidth="1"/>
    <col min="5" max="5" width="45.85546875" style="1" customWidth="1"/>
    <col min="6" max="16384" width="9.140625" style="1"/>
  </cols>
  <sheetData>
    <row r="1" spans="1:6" ht="15.75">
      <c r="A1" s="99" t="s">
        <v>97</v>
      </c>
      <c r="B1" s="99"/>
      <c r="C1" s="99"/>
      <c r="D1" s="99"/>
      <c r="E1" s="99"/>
    </row>
    <row r="3" spans="1:6" ht="30">
      <c r="A3" s="34" t="s">
        <v>23</v>
      </c>
      <c r="B3" s="34" t="s">
        <v>80</v>
      </c>
      <c r="C3" s="34" t="s">
        <v>78</v>
      </c>
      <c r="D3" s="34" t="s">
        <v>81</v>
      </c>
      <c r="E3" s="34" t="s">
        <v>82</v>
      </c>
      <c r="F3" s="36"/>
    </row>
    <row r="4" spans="1:6">
      <c r="A4" s="35" t="str">
        <f>IF(OR(B4&lt;&gt;0, C4&lt;&gt;0, D4&lt;&gt;0, E4&lt;&gt;0), 1, "")</f>
        <v/>
      </c>
      <c r="B4" s="25"/>
      <c r="C4" s="24"/>
      <c r="D4" s="24"/>
      <c r="E4" s="25"/>
    </row>
    <row r="5" spans="1:6">
      <c r="A5" s="35" t="str">
        <f>IF(OR(B5&lt;&gt;0, C5&lt;&gt;0, D5&lt;&gt;0, E5&lt;&gt;0), 2, "")</f>
        <v/>
      </c>
      <c r="B5" s="25"/>
      <c r="C5" s="24"/>
      <c r="D5" s="24"/>
      <c r="E5" s="25"/>
    </row>
    <row r="6" spans="1:6">
      <c r="A6" s="35" t="str">
        <f>IF(OR(B6&lt;&gt;0, C6&lt;&gt;0, D6&lt;&gt;0, E6&lt;&gt;0), 3, "")</f>
        <v/>
      </c>
      <c r="B6" s="25"/>
      <c r="C6" s="24"/>
      <c r="D6" s="24"/>
      <c r="E6" s="25"/>
    </row>
    <row r="7" spans="1:6">
      <c r="A7" s="35" t="str">
        <f>IF(OR(B7&lt;&gt;0, C7&lt;&gt;0, D7&lt;&gt;0, E7&lt;&gt;0), 4, "")</f>
        <v/>
      </c>
      <c r="B7" s="25"/>
      <c r="C7" s="24"/>
      <c r="D7" s="24"/>
      <c r="E7" s="25"/>
    </row>
    <row r="8" spans="1:6">
      <c r="A8" s="35" t="str">
        <f>IF(OR(B8&lt;&gt;0, C8&lt;&gt;0, D8&lt;&gt;0, E8&lt;&gt;0), 5, "")</f>
        <v/>
      </c>
      <c r="B8" s="25"/>
      <c r="C8" s="24"/>
      <c r="D8" s="24"/>
      <c r="E8" s="25"/>
    </row>
    <row r="9" spans="1:6">
      <c r="A9" s="35" t="str">
        <f>IF(OR(B9&lt;&gt;0, C9&lt;&gt;0, D9&lt;&gt;0, E9&lt;&gt;0), 6, "")</f>
        <v/>
      </c>
      <c r="B9" s="25"/>
      <c r="C9" s="24"/>
      <c r="D9" s="24"/>
      <c r="E9" s="25"/>
    </row>
    <row r="10" spans="1:6">
      <c r="A10" s="35" t="str">
        <f>IF(OR(B10&lt;&gt;0, C10&lt;&gt;0, D10&lt;&gt;0, E10&lt;&gt;0), 7, "")</f>
        <v/>
      </c>
      <c r="B10" s="25"/>
      <c r="C10" s="24"/>
      <c r="D10" s="24"/>
      <c r="E10" s="25"/>
    </row>
    <row r="11" spans="1:6">
      <c r="A11" s="35" t="str">
        <f>IF(OR(B11&lt;&gt;0, C11&lt;&gt;0, D11&lt;&gt;0, E11&lt;&gt;0), 8, "")</f>
        <v/>
      </c>
      <c r="B11" s="25"/>
      <c r="C11" s="24"/>
      <c r="D11" s="24"/>
      <c r="E11" s="25"/>
    </row>
    <row r="12" spans="1:6">
      <c r="A12" s="35" t="str">
        <f>IF(OR(B12&lt;&gt;0, C12&lt;&gt;0, D12&lt;&gt;0, E12&lt;&gt;0), 9, "")</f>
        <v/>
      </c>
      <c r="B12" s="25"/>
      <c r="C12" s="24"/>
      <c r="D12" s="24"/>
      <c r="E12" s="25"/>
    </row>
    <row r="13" spans="1:6">
      <c r="A13" s="35" t="str">
        <f>IF(OR(B13&lt;&gt;0, C13&lt;&gt;0, D13&lt;&gt;0, E13&lt;&gt;0), 10, "")</f>
        <v/>
      </c>
      <c r="B13" s="25"/>
      <c r="C13" s="24"/>
      <c r="D13" s="24"/>
      <c r="E13" s="25"/>
    </row>
    <row r="14" spans="1:6">
      <c r="A14" s="35" t="str">
        <f>IF(OR(B14&lt;&gt;0, C14&lt;&gt;0, D14&lt;&gt;0, E14&lt;&gt;0), 11, "")</f>
        <v/>
      </c>
      <c r="B14" s="25"/>
      <c r="C14" s="24"/>
      <c r="D14" s="24"/>
      <c r="E14" s="25"/>
    </row>
    <row r="15" spans="1:6">
      <c r="A15" s="35" t="str">
        <f>IF(OR(B15&lt;&gt;0, C15&lt;&gt;0, D15&lt;&gt;0, E15&lt;&gt;0), 12, "")</f>
        <v/>
      </c>
      <c r="B15" s="25"/>
      <c r="C15" s="24"/>
      <c r="D15" s="24"/>
      <c r="E15" s="25"/>
    </row>
    <row r="16" spans="1:6">
      <c r="A16" s="35" t="str">
        <f>IF(OR(B16&lt;&gt;0, C16&lt;&gt;0, D16&lt;&gt;0, E16&lt;&gt;0), 13, "")</f>
        <v/>
      </c>
      <c r="B16" s="25"/>
      <c r="C16" s="24"/>
      <c r="D16" s="24"/>
      <c r="E16" s="25"/>
    </row>
    <row r="17" spans="1:5">
      <c r="A17" s="35" t="str">
        <f>IF(OR(B17&lt;&gt;0, C17&lt;&gt;0, D17&lt;&gt;0, E17&lt;&gt;0), 14, "")</f>
        <v/>
      </c>
      <c r="B17" s="25"/>
      <c r="C17" s="24"/>
      <c r="D17" s="24"/>
      <c r="E17" s="25"/>
    </row>
    <row r="18" spans="1:5">
      <c r="A18" s="35" t="str">
        <f>IF(OR(B18&lt;&gt;0, C18&lt;&gt;0, D18&lt;&gt;0, E18&lt;&gt;0), 15, "")</f>
        <v/>
      </c>
      <c r="B18" s="25"/>
      <c r="C18" s="24"/>
      <c r="D18" s="24"/>
      <c r="E18" s="25"/>
    </row>
    <row r="19" spans="1:5">
      <c r="A19" s="35" t="str">
        <f>IF(OR(B19&lt;&gt;0, C19&lt;&gt;0, D19&lt;&gt;0, E19&lt;&gt;0), 16, "")</f>
        <v/>
      </c>
      <c r="B19" s="25"/>
      <c r="C19" s="24"/>
      <c r="D19" s="24"/>
      <c r="E19" s="25"/>
    </row>
    <row r="20" spans="1:5">
      <c r="A20" s="35" t="str">
        <f>IF(OR(B20&lt;&gt;0, C20&lt;&gt;0, D20&lt;&gt;0, E20&lt;&gt;0), 17, "")</f>
        <v/>
      </c>
      <c r="B20" s="25"/>
      <c r="C20" s="24"/>
      <c r="D20" s="24"/>
      <c r="E20" s="25"/>
    </row>
    <row r="21" spans="1:5">
      <c r="A21" s="35" t="str">
        <f>IF(OR(B21&lt;&gt;0, C21&lt;&gt;0, D21&lt;&gt;0, E21&lt;&gt;0), 18, "")</f>
        <v/>
      </c>
      <c r="B21" s="25"/>
      <c r="C21" s="24"/>
      <c r="D21" s="24"/>
      <c r="E21" s="25"/>
    </row>
    <row r="22" spans="1:5">
      <c r="A22" s="35" t="str">
        <f>IF(OR(B22&lt;&gt;0, C22&lt;&gt;0, D22&lt;&gt;0, E22&lt;&gt;0), 19, "")</f>
        <v/>
      </c>
      <c r="B22" s="25"/>
      <c r="C22" s="24"/>
      <c r="D22" s="24"/>
      <c r="E22" s="25"/>
    </row>
    <row r="23" spans="1:5">
      <c r="A23" s="35" t="str">
        <f>IF(OR(B23&lt;&gt;0, C23&lt;&gt;0, D23&lt;&gt;0, E23&lt;&gt;0), 20, "")</f>
        <v/>
      </c>
      <c r="B23" s="25"/>
      <c r="C23" s="24"/>
      <c r="D23" s="24"/>
      <c r="E23" s="25"/>
    </row>
  </sheetData>
  <sheetProtection selectLockedCells="1"/>
  <mergeCells count="1">
    <mergeCell ref="A1:E1"/>
  </mergeCells>
  <conditionalFormatting sqref="A4:A23">
    <cfRule type="cellIs" dxfId="16" priority="2" operator="between">
      <formula>0</formula>
      <formula>20</formula>
    </cfRule>
  </conditionalFormatting>
  <conditionalFormatting sqref="B4:E23">
    <cfRule type="cellIs" dxfId="15" priority="1" operator="greaterThan">
      <formula>0</formula>
    </cfRule>
  </conditionalFormatting>
  <dataValidations count="2">
    <dataValidation type="list" allowBlank="1" showInputMessage="1" showErrorMessage="1" sqref="C4:C23">
      <formula1>"Международный, Федеральный, Региональный, Муниципальный"</formula1>
    </dataValidation>
    <dataValidation type="date" allowBlank="1" showInputMessage="1" showErrorMessage="1" sqref="D4:D23">
      <formula1>43983</formula1>
      <formula2>44348</formula2>
    </dataValidation>
  </dataValidations>
  <pageMargins left="0.7" right="0.7" top="0.75" bottom="0.75" header="0.3" footer="0.3"/>
  <pageSetup paperSize="9" orientation="landscape" r:id="rId1"/>
  <headerFooter>
    <oddHeader>&amp;R&amp;"Times New Roman,обычный"&amp;10Анализ деятельности образовательного учреждения культурыпо итогам 2020-2021 учебного года</oddHeader>
    <oddFooter>&amp;C&amp;P</oddFooter>
  </headerFooter>
  <legacyDrawing r:id="rId2"/>
</worksheet>
</file>

<file path=xl/worksheets/sheet15.xml><?xml version="1.0" encoding="utf-8"?>
<worksheet xmlns="http://schemas.openxmlformats.org/spreadsheetml/2006/main" xmlns:r="http://schemas.openxmlformats.org/officeDocument/2006/relationships">
  <dimension ref="A1:E23"/>
  <sheetViews>
    <sheetView showWhiteSpace="0" view="pageLayout" workbookViewId="0">
      <selection activeCell="E12" sqref="E12"/>
    </sheetView>
  </sheetViews>
  <sheetFormatPr defaultRowHeight="15"/>
  <cols>
    <col min="1" max="1" width="5.42578125" style="1" customWidth="1"/>
    <col min="2" max="2" width="45.7109375" style="1" customWidth="1"/>
    <col min="3" max="3" width="16.5703125" style="1" customWidth="1"/>
    <col min="4" max="4" width="17.5703125" style="1" customWidth="1"/>
    <col min="5" max="5" width="45.7109375" style="1" customWidth="1"/>
    <col min="6" max="16384" width="9.140625" style="1"/>
  </cols>
  <sheetData>
    <row r="1" spans="1:5" ht="15.75">
      <c r="A1" s="99" t="s">
        <v>98</v>
      </c>
      <c r="B1" s="99"/>
      <c r="C1" s="99"/>
      <c r="D1" s="99"/>
      <c r="E1" s="99"/>
    </row>
    <row r="3" spans="1:5" ht="30">
      <c r="A3" s="34" t="s">
        <v>23</v>
      </c>
      <c r="B3" s="34" t="s">
        <v>83</v>
      </c>
      <c r="C3" s="34" t="s">
        <v>78</v>
      </c>
      <c r="D3" s="34" t="s">
        <v>81</v>
      </c>
      <c r="E3" s="34" t="s">
        <v>84</v>
      </c>
    </row>
    <row r="4" spans="1:5" ht="45">
      <c r="A4" s="35">
        <f>IF(OR(B4&lt;&gt;0, C4&lt;&gt;0, D4&lt;&gt;0, E4&lt;&gt;0), 1, "")</f>
        <v>1</v>
      </c>
      <c r="B4" s="25" t="s">
        <v>176</v>
      </c>
      <c r="C4" s="24" t="s">
        <v>177</v>
      </c>
      <c r="D4" s="37">
        <v>44190</v>
      </c>
      <c r="E4" s="25" t="s">
        <v>178</v>
      </c>
    </row>
    <row r="5" spans="1:5">
      <c r="A5" s="35" t="str">
        <f>IF(OR(B5&lt;&gt;0, C5&lt;&gt;0, D5&lt;&gt;0, E5&lt;&gt;0), 2, "")</f>
        <v/>
      </c>
      <c r="B5" s="25"/>
      <c r="C5" s="24"/>
      <c r="D5" s="37"/>
      <c r="E5" s="25"/>
    </row>
    <row r="6" spans="1:5">
      <c r="A6" s="35" t="str">
        <f>IF(OR(B6&lt;&gt;0, C6&lt;&gt;0, D6&lt;&gt;0, E6&lt;&gt;0), 3, "")</f>
        <v/>
      </c>
      <c r="B6" s="25"/>
      <c r="C6" s="24"/>
      <c r="D6" s="37"/>
      <c r="E6" s="25"/>
    </row>
    <row r="7" spans="1:5">
      <c r="A7" s="35" t="str">
        <f>IF(OR(B7&lt;&gt;0, C7&lt;&gt;0, D7&lt;&gt;0, E7&lt;&gt;0), 4, "")</f>
        <v/>
      </c>
      <c r="B7" s="25"/>
      <c r="C7" s="24"/>
      <c r="D7" s="37"/>
      <c r="E7" s="25"/>
    </row>
    <row r="8" spans="1:5">
      <c r="A8" s="35" t="str">
        <f>IF(OR(B8&lt;&gt;0, C8&lt;&gt;0, D8&lt;&gt;0, E8&lt;&gt;0), 5, "")</f>
        <v/>
      </c>
      <c r="B8" s="25"/>
      <c r="C8" s="24"/>
      <c r="D8" s="37"/>
      <c r="E8" s="25"/>
    </row>
    <row r="9" spans="1:5">
      <c r="A9" s="35" t="str">
        <f>IF(OR(B9&lt;&gt;0, C9&lt;&gt;0, D9&lt;&gt;0, E9&lt;&gt;0), 6, "")</f>
        <v/>
      </c>
      <c r="B9" s="25"/>
      <c r="C9" s="24"/>
      <c r="D9" s="37"/>
      <c r="E9" s="25"/>
    </row>
    <row r="10" spans="1:5">
      <c r="A10" s="35" t="str">
        <f>IF(OR(B10&lt;&gt;0, C10&lt;&gt;0, D10&lt;&gt;0, E10&lt;&gt;0), 7, "")</f>
        <v/>
      </c>
      <c r="B10" s="25"/>
      <c r="C10" s="24"/>
      <c r="D10" s="37"/>
      <c r="E10" s="25"/>
    </row>
    <row r="11" spans="1:5">
      <c r="A11" s="35" t="str">
        <f>IF(OR(B11&lt;&gt;0, C11&lt;&gt;0, D11&lt;&gt;0, E11&lt;&gt;0), 8, "")</f>
        <v/>
      </c>
      <c r="B11" s="25"/>
      <c r="C11" s="24"/>
      <c r="D11" s="37"/>
      <c r="E11" s="25"/>
    </row>
    <row r="12" spans="1:5">
      <c r="A12" s="35" t="str">
        <f>IF(OR(B12&lt;&gt;0, C12&lt;&gt;0, D12&lt;&gt;0, E12&lt;&gt;0), 9, "")</f>
        <v/>
      </c>
      <c r="B12" s="25"/>
      <c r="C12" s="24"/>
      <c r="D12" s="37"/>
      <c r="E12" s="25"/>
    </row>
    <row r="13" spans="1:5">
      <c r="A13" s="35" t="str">
        <f>IF(OR(B13&lt;&gt;0, C13&lt;&gt;0, D13&lt;&gt;0, E13&lt;&gt;0), 10, "")</f>
        <v/>
      </c>
      <c r="B13" s="25"/>
      <c r="C13" s="24"/>
      <c r="D13" s="37"/>
      <c r="E13" s="25"/>
    </row>
    <row r="14" spans="1:5">
      <c r="A14" s="35" t="str">
        <f>IF(OR(B14&lt;&gt;0, C14&lt;&gt;0, D14&lt;&gt;0, E14&lt;&gt;0), 11, "")</f>
        <v/>
      </c>
      <c r="B14" s="25"/>
      <c r="C14" s="24"/>
      <c r="D14" s="37"/>
      <c r="E14" s="25"/>
    </row>
    <row r="15" spans="1:5">
      <c r="A15" s="35" t="str">
        <f>IF(OR(B15&lt;&gt;0, C15&lt;&gt;0, D15&lt;&gt;0, E15&lt;&gt;0), 12, "")</f>
        <v/>
      </c>
      <c r="B15" s="25"/>
      <c r="C15" s="24"/>
      <c r="D15" s="37"/>
      <c r="E15" s="25"/>
    </row>
    <row r="16" spans="1:5">
      <c r="A16" s="35" t="str">
        <f>IF(OR(B16&lt;&gt;0, C16&lt;&gt;0, D16&lt;&gt;0, E16&lt;&gt;0), 13, "")</f>
        <v/>
      </c>
      <c r="B16" s="25"/>
      <c r="C16" s="24"/>
      <c r="D16" s="37"/>
      <c r="E16" s="25"/>
    </row>
    <row r="17" spans="1:5">
      <c r="A17" s="35" t="str">
        <f>IF(OR(B17&lt;&gt;0, C17&lt;&gt;0, D17&lt;&gt;0, E17&lt;&gt;0), 14, "")</f>
        <v/>
      </c>
      <c r="B17" s="25"/>
      <c r="C17" s="24"/>
      <c r="D17" s="37"/>
      <c r="E17" s="25"/>
    </row>
    <row r="18" spans="1:5">
      <c r="A18" s="35" t="str">
        <f>IF(OR(B18&lt;&gt;0, C18&lt;&gt;0, D18&lt;&gt;0, E18&lt;&gt;0), 15, "")</f>
        <v/>
      </c>
      <c r="B18" s="25"/>
      <c r="C18" s="24"/>
      <c r="D18" s="37"/>
      <c r="E18" s="25"/>
    </row>
    <row r="19" spans="1:5">
      <c r="A19" s="35" t="str">
        <f>IF(OR(B19&lt;&gt;0, C19&lt;&gt;0, D19&lt;&gt;0, E19&lt;&gt;0), 16, "")</f>
        <v/>
      </c>
      <c r="B19" s="25"/>
      <c r="C19" s="24"/>
      <c r="D19" s="37"/>
      <c r="E19" s="25"/>
    </row>
    <row r="20" spans="1:5">
      <c r="A20" s="35" t="str">
        <f>IF(OR(B20&lt;&gt;0, C20&lt;&gt;0, D20&lt;&gt;0, E20&lt;&gt;0), 17, "")</f>
        <v/>
      </c>
      <c r="B20" s="25"/>
      <c r="C20" s="24"/>
      <c r="D20" s="37"/>
      <c r="E20" s="25"/>
    </row>
    <row r="21" spans="1:5">
      <c r="A21" s="35" t="str">
        <f>IF(OR(B21&lt;&gt;0, C21&lt;&gt;0, D21&lt;&gt;0, E21&lt;&gt;0), 18, "")</f>
        <v/>
      </c>
      <c r="B21" s="25"/>
      <c r="C21" s="24"/>
      <c r="D21" s="37"/>
      <c r="E21" s="25"/>
    </row>
    <row r="22" spans="1:5">
      <c r="A22" s="35" t="str">
        <f>IF(OR(B22&lt;&gt;0, C22&lt;&gt;0, D22&lt;&gt;0, E22&lt;&gt;0), 19, "")</f>
        <v/>
      </c>
      <c r="B22" s="25"/>
      <c r="C22" s="24"/>
      <c r="D22" s="37"/>
      <c r="E22" s="25"/>
    </row>
    <row r="23" spans="1:5">
      <c r="A23" s="35" t="str">
        <f>IF(OR(B23&lt;&gt;0, C23&lt;&gt;0, D23&lt;&gt;0, E23&lt;&gt;0), 20, "")</f>
        <v/>
      </c>
      <c r="B23" s="25"/>
      <c r="C23" s="24"/>
      <c r="D23" s="37"/>
      <c r="E23" s="25"/>
    </row>
  </sheetData>
  <sheetProtection selectLockedCells="1"/>
  <mergeCells count="1">
    <mergeCell ref="A1:E1"/>
  </mergeCells>
  <conditionalFormatting sqref="A4:A23">
    <cfRule type="cellIs" dxfId="14" priority="2" operator="between">
      <formula>0</formula>
      <formula>20</formula>
    </cfRule>
  </conditionalFormatting>
  <conditionalFormatting sqref="B4:E23">
    <cfRule type="cellIs" dxfId="13" priority="1" operator="greaterThan">
      <formula>0</formula>
    </cfRule>
  </conditionalFormatting>
  <dataValidations count="2">
    <dataValidation type="list" allowBlank="1" showInputMessage="1" showErrorMessage="1" sqref="C4:C23">
      <formula1>"Международный, Федеральный, Региональный, Муниципальный"</formula1>
    </dataValidation>
    <dataValidation type="date" allowBlank="1" showInputMessage="1" showErrorMessage="1" sqref="D4:D23">
      <formula1>43983</formula1>
      <formula2>44348</formula2>
    </dataValidation>
  </dataValidations>
  <pageMargins left="0.7" right="0.7" top="0.75" bottom="0.75" header="0.3" footer="0.3"/>
  <pageSetup paperSize="9" orientation="landscape" r:id="rId1"/>
  <headerFooter>
    <oddHeader>&amp;R&amp;"Times New Roman,обычный"&amp;10Анализ деятельности образовательного учреждения культурыпо итогам 2020-2021 учебного года</oddHeader>
    <oddFooter>&amp;C&amp;P</oddFooter>
  </headerFooter>
  <legacyDrawing r:id="rId2"/>
</worksheet>
</file>

<file path=xl/worksheets/sheet16.xml><?xml version="1.0" encoding="utf-8"?>
<worksheet xmlns="http://schemas.openxmlformats.org/spreadsheetml/2006/main" xmlns:r="http://schemas.openxmlformats.org/officeDocument/2006/relationships">
  <dimension ref="A1:H76"/>
  <sheetViews>
    <sheetView showWhiteSpace="0" view="pageLayout" topLeftCell="A13" workbookViewId="0">
      <selection activeCell="F16" sqref="F16"/>
    </sheetView>
  </sheetViews>
  <sheetFormatPr defaultRowHeight="12.75"/>
  <cols>
    <col min="1" max="1" width="3.85546875" style="9" customWidth="1"/>
    <col min="2" max="2" width="34.7109375" style="9" customWidth="1"/>
    <col min="3" max="3" width="11.28515625" style="9" customWidth="1"/>
    <col min="4" max="4" width="17.28515625" style="9" customWidth="1"/>
    <col min="5" max="5" width="14.7109375" style="9" customWidth="1"/>
    <col min="6" max="6" width="18.7109375" style="9" customWidth="1"/>
    <col min="7" max="7" width="11.5703125" style="9" customWidth="1"/>
    <col min="8" max="8" width="18.7109375" style="9" customWidth="1"/>
    <col min="9" max="16384" width="9.140625" style="9"/>
  </cols>
  <sheetData>
    <row r="1" spans="1:8" ht="31.5" customHeight="1">
      <c r="A1" s="133" t="s">
        <v>158</v>
      </c>
      <c r="B1" s="133"/>
      <c r="C1" s="133"/>
      <c r="D1" s="133"/>
      <c r="E1" s="133"/>
      <c r="F1" s="133"/>
      <c r="G1" s="133"/>
      <c r="H1" s="133"/>
    </row>
    <row r="3" spans="1:8" ht="25.5">
      <c r="A3" s="39" t="s">
        <v>23</v>
      </c>
      <c r="B3" s="39" t="s">
        <v>143</v>
      </c>
      <c r="C3" s="39" t="s">
        <v>144</v>
      </c>
      <c r="D3" s="39" t="s">
        <v>145</v>
      </c>
      <c r="E3" s="39" t="s">
        <v>146</v>
      </c>
      <c r="F3" s="39" t="s">
        <v>147</v>
      </c>
      <c r="G3" s="39" t="s">
        <v>148</v>
      </c>
      <c r="H3" s="39" t="s">
        <v>149</v>
      </c>
    </row>
    <row r="4" spans="1:8" ht="38.25">
      <c r="A4" s="11">
        <f>IF(OR(B4&lt;&gt;0, C4&lt;&gt;0, D4&lt;&gt;0, E4&lt;&gt;0, F4&lt;&gt;0, G4&lt;&gt;0, H4&lt;&gt;0), 1, "")</f>
        <v>1</v>
      </c>
      <c r="B4" s="52" t="s">
        <v>298</v>
      </c>
      <c r="C4" s="15" t="s">
        <v>299</v>
      </c>
      <c r="D4" s="52" t="s">
        <v>300</v>
      </c>
      <c r="E4" s="15" t="s">
        <v>301</v>
      </c>
      <c r="F4" s="15" t="s">
        <v>302</v>
      </c>
      <c r="G4" s="15" t="s">
        <v>303</v>
      </c>
      <c r="H4" s="15" t="s">
        <v>229</v>
      </c>
    </row>
    <row r="5" spans="1:8" ht="63.75">
      <c r="A5" s="11">
        <f>IF(OR(B5&lt;&gt;0, C5&lt;&gt;0, D5&lt;&gt;0, E5&lt;&gt;0, F5&lt;&gt;0, G5&lt;&gt;0, H5&lt;&gt;0), 2, "")</f>
        <v>2</v>
      </c>
      <c r="B5" s="52" t="s">
        <v>304</v>
      </c>
      <c r="C5" s="15" t="s">
        <v>305</v>
      </c>
      <c r="D5" s="52" t="s">
        <v>171</v>
      </c>
      <c r="E5" s="15" t="s">
        <v>50</v>
      </c>
      <c r="F5" s="15" t="s">
        <v>542</v>
      </c>
      <c r="G5" s="15" t="s">
        <v>306</v>
      </c>
      <c r="H5" s="15" t="s">
        <v>307</v>
      </c>
    </row>
    <row r="6" spans="1:8" ht="76.5">
      <c r="A6" s="11">
        <f>IF(OR(B6&lt;&gt;0, C6&lt;&gt;0, D6&lt;&gt;0, E6&lt;&gt;0, F6&lt;&gt;0, G6&lt;&gt;0, H6&lt;&gt;0), 3, "")</f>
        <v>3</v>
      </c>
      <c r="B6" s="52" t="s">
        <v>304</v>
      </c>
      <c r="C6" s="15" t="s">
        <v>305</v>
      </c>
      <c r="D6" s="52" t="s">
        <v>171</v>
      </c>
      <c r="E6" s="15" t="s">
        <v>308</v>
      </c>
      <c r="F6" s="15" t="s">
        <v>543</v>
      </c>
      <c r="G6" s="15" t="s">
        <v>306</v>
      </c>
      <c r="H6" s="15" t="s">
        <v>307</v>
      </c>
    </row>
    <row r="7" spans="1:8" ht="51">
      <c r="A7" s="11">
        <f>IF(OR(B7&lt;&gt;0, C7&lt;&gt;0, D7&lt;&gt;0, E7&lt;&gt;0, F7&lt;&gt;0, G7&lt;&gt;0, H7&lt;&gt;0), 4, "")</f>
        <v>4</v>
      </c>
      <c r="B7" s="52" t="s">
        <v>309</v>
      </c>
      <c r="C7" s="15" t="s">
        <v>310</v>
      </c>
      <c r="D7" s="52" t="s">
        <v>311</v>
      </c>
      <c r="E7" s="15" t="s">
        <v>67</v>
      </c>
      <c r="F7" s="15" t="s">
        <v>312</v>
      </c>
      <c r="G7" s="15" t="s">
        <v>313</v>
      </c>
      <c r="H7" s="15" t="s">
        <v>314</v>
      </c>
    </row>
    <row r="8" spans="1:8" ht="51">
      <c r="A8" s="11">
        <f>IF(OR(B8&lt;&gt;0, C8&lt;&gt;0, D8&lt;&gt;0, E8&lt;&gt;0, F8&lt;&gt;0, G8&lt;&gt;0, H8&lt;&gt;0), 5, "")</f>
        <v>5</v>
      </c>
      <c r="B8" s="52" t="s">
        <v>309</v>
      </c>
      <c r="C8" s="15" t="s">
        <v>310</v>
      </c>
      <c r="D8" s="52" t="s">
        <v>311</v>
      </c>
      <c r="E8" s="15" t="s">
        <v>67</v>
      </c>
      <c r="F8" s="15" t="s">
        <v>544</v>
      </c>
      <c r="G8" s="15" t="s">
        <v>303</v>
      </c>
      <c r="H8" s="15" t="s">
        <v>315</v>
      </c>
    </row>
    <row r="9" spans="1:8" ht="51">
      <c r="A9" s="11">
        <f>IF(OR(B9&lt;&gt;0, C9&lt;&gt;0, D9&lt;&gt;0, E9&lt;&gt;0, F9&lt;&gt;0, G9&lt;&gt;0, H9&lt;&gt;0), 6, "")</f>
        <v>6</v>
      </c>
      <c r="B9" s="52" t="s">
        <v>309</v>
      </c>
      <c r="C9" s="15" t="s">
        <v>310</v>
      </c>
      <c r="D9" s="52" t="s">
        <v>311</v>
      </c>
      <c r="E9" s="15" t="s">
        <v>65</v>
      </c>
      <c r="F9" s="15" t="s">
        <v>316</v>
      </c>
      <c r="G9" s="15" t="s">
        <v>313</v>
      </c>
      <c r="H9" s="15" t="s">
        <v>220</v>
      </c>
    </row>
    <row r="10" spans="1:8" ht="51">
      <c r="A10" s="11">
        <f>IF(OR(B10&lt;&gt;0, C10&lt;&gt;0, D10&lt;&gt;0, E10&lt;&gt;0, F10&lt;&gt;0, G10&lt;&gt;0, H10&lt;&gt;0), 7, "")</f>
        <v>7</v>
      </c>
      <c r="B10" s="52" t="s">
        <v>309</v>
      </c>
      <c r="C10" s="15" t="s">
        <v>310</v>
      </c>
      <c r="D10" s="52" t="s">
        <v>311</v>
      </c>
      <c r="E10" s="15" t="s">
        <v>317</v>
      </c>
      <c r="F10" s="15" t="s">
        <v>318</v>
      </c>
      <c r="G10" s="15" t="s">
        <v>313</v>
      </c>
      <c r="H10" s="15" t="s">
        <v>315</v>
      </c>
    </row>
    <row r="11" spans="1:8" ht="38.25">
      <c r="A11" s="11">
        <f>IF(OR(B11&lt;&gt;0, C11&lt;&gt;0, D11&lt;&gt;0, E11&lt;&gt;0, F11&lt;&gt;0, G11&lt;&gt;0, H11&lt;&gt;0), 8, "")</f>
        <v>8</v>
      </c>
      <c r="B11" s="52" t="s">
        <v>319</v>
      </c>
      <c r="C11" s="15" t="s">
        <v>320</v>
      </c>
      <c r="D11" s="52" t="s">
        <v>321</v>
      </c>
      <c r="E11" s="15" t="s">
        <v>322</v>
      </c>
      <c r="F11" s="15" t="s">
        <v>323</v>
      </c>
      <c r="G11" s="15" t="s">
        <v>303</v>
      </c>
      <c r="H11" s="15" t="s">
        <v>239</v>
      </c>
    </row>
    <row r="12" spans="1:8" ht="38.25">
      <c r="A12" s="11">
        <f>IF(OR(B12&lt;&gt;0, C12&lt;&gt;0, D12&lt;&gt;0, E12&lt;&gt;0, F12&lt;&gt;0, G12&lt;&gt;0, H12&lt;&gt;0), 9, "")</f>
        <v>9</v>
      </c>
      <c r="B12" s="52" t="s">
        <v>319</v>
      </c>
      <c r="C12" s="15" t="s">
        <v>320</v>
      </c>
      <c r="D12" s="52" t="s">
        <v>321</v>
      </c>
      <c r="E12" s="15" t="s">
        <v>322</v>
      </c>
      <c r="F12" s="15" t="s">
        <v>324</v>
      </c>
      <c r="G12" s="15" t="s">
        <v>303</v>
      </c>
      <c r="H12" s="15" t="s">
        <v>239</v>
      </c>
    </row>
    <row r="13" spans="1:8" ht="38.25">
      <c r="A13" s="11">
        <f>IF(OR(B13&lt;&gt;0, C13&lt;&gt;0, D13&lt;&gt;0, E13&lt;&gt;0, F13&lt;&gt;0, G13&lt;&gt;0, H13&lt;&gt;0), 10, "")</f>
        <v>10</v>
      </c>
      <c r="B13" s="52" t="s">
        <v>319</v>
      </c>
      <c r="C13" s="15" t="s">
        <v>320</v>
      </c>
      <c r="D13" s="52" t="s">
        <v>321</v>
      </c>
      <c r="E13" s="15" t="s">
        <v>322</v>
      </c>
      <c r="F13" s="15" t="s">
        <v>325</v>
      </c>
      <c r="G13" s="15" t="s">
        <v>313</v>
      </c>
      <c r="H13" s="15" t="s">
        <v>239</v>
      </c>
    </row>
    <row r="14" spans="1:8" ht="51">
      <c r="A14" s="11">
        <f>IF(OR(B14&lt;&gt;0, C14&lt;&gt;0, D14&lt;&gt;0, E14&lt;&gt;0, F14&lt;&gt;0, G14&lt;&gt;0, H14&lt;&gt;0), 11, "")</f>
        <v>11</v>
      </c>
      <c r="B14" s="52" t="s">
        <v>326</v>
      </c>
      <c r="C14" s="15" t="s">
        <v>327</v>
      </c>
      <c r="D14" s="52" t="s">
        <v>328</v>
      </c>
      <c r="E14" s="15" t="s">
        <v>262</v>
      </c>
      <c r="F14" s="15" t="s">
        <v>329</v>
      </c>
      <c r="G14" s="15" t="s">
        <v>306</v>
      </c>
      <c r="H14" s="15" t="s">
        <v>330</v>
      </c>
    </row>
    <row r="15" spans="1:8" ht="51">
      <c r="A15" s="11">
        <f>IF(OR(B15&lt;&gt;0, C15&lt;&gt;0, D15&lt;&gt;0, E15&lt;&gt;0, F15&lt;&gt;0, G15&lt;&gt;0, H15&lt;&gt;0), 12, "")</f>
        <v>12</v>
      </c>
      <c r="B15" s="52" t="s">
        <v>326</v>
      </c>
      <c r="C15" s="15" t="s">
        <v>327</v>
      </c>
      <c r="D15" s="52" t="s">
        <v>328</v>
      </c>
      <c r="E15" s="15" t="s">
        <v>262</v>
      </c>
      <c r="F15" s="15" t="s">
        <v>331</v>
      </c>
      <c r="G15" s="15" t="s">
        <v>306</v>
      </c>
      <c r="H15" s="15" t="s">
        <v>330</v>
      </c>
    </row>
    <row r="16" spans="1:8" ht="63.75">
      <c r="A16" s="11">
        <f>IF(OR(B16&lt;&gt;0, C16&lt;&gt;0, D16&lt;&gt;0, E16&lt;&gt;0, F16&lt;&gt;0, G16&lt;&gt;0, H16&lt;&gt;0), 13, "")</f>
        <v>13</v>
      </c>
      <c r="B16" s="52" t="s">
        <v>332</v>
      </c>
      <c r="C16" s="15" t="s">
        <v>333</v>
      </c>
      <c r="D16" s="52" t="s">
        <v>334</v>
      </c>
      <c r="E16" s="15" t="s">
        <v>308</v>
      </c>
      <c r="F16" s="15" t="s">
        <v>545</v>
      </c>
      <c r="G16" s="15" t="s">
        <v>335</v>
      </c>
      <c r="H16" s="15" t="s">
        <v>307</v>
      </c>
    </row>
    <row r="17" spans="1:8" ht="51">
      <c r="A17" s="11">
        <f>IF(OR(B17&lt;&gt;0, C17&lt;&gt;0, D17&lt;&gt;0, E17&lt;&gt;0, F17&lt;&gt;0, G17&lt;&gt;0, H17&lt;&gt;0), 14, "")</f>
        <v>14</v>
      </c>
      <c r="B17" s="52" t="s">
        <v>336</v>
      </c>
      <c r="C17" s="13">
        <v>44300</v>
      </c>
      <c r="D17" s="52" t="s">
        <v>337</v>
      </c>
      <c r="E17" s="15" t="s">
        <v>338</v>
      </c>
      <c r="F17" s="15" t="s">
        <v>339</v>
      </c>
      <c r="G17" s="15" t="s">
        <v>303</v>
      </c>
      <c r="H17" s="15" t="s">
        <v>340</v>
      </c>
    </row>
    <row r="18" spans="1:8" ht="51">
      <c r="A18" s="11">
        <f>IF(OR(B18&lt;&gt;0, C18&lt;&gt;0, D18&lt;&gt;0, E18&lt;&gt;0, F18&lt;&gt;0, G18&lt;&gt;0, H18&lt;&gt;0), 15, "")</f>
        <v>15</v>
      </c>
      <c r="B18" s="52" t="s">
        <v>341</v>
      </c>
      <c r="C18" s="15" t="s">
        <v>342</v>
      </c>
      <c r="D18" s="52" t="s">
        <v>343</v>
      </c>
      <c r="E18" s="15" t="s">
        <v>338</v>
      </c>
      <c r="F18" s="15" t="s">
        <v>339</v>
      </c>
      <c r="G18" s="15" t="s">
        <v>303</v>
      </c>
      <c r="H18" s="15" t="s">
        <v>340</v>
      </c>
    </row>
    <row r="19" spans="1:8" ht="51">
      <c r="A19" s="11">
        <f>IF(OR(B19&lt;&gt;0, C19&lt;&gt;0, D19&lt;&gt;0, E19&lt;&gt;0, F19&lt;&gt;0, G19&lt;&gt;0, H19&lt;&gt;0), 16, "")</f>
        <v>16</v>
      </c>
      <c r="B19" s="52" t="s">
        <v>341</v>
      </c>
      <c r="C19" s="15" t="s">
        <v>342</v>
      </c>
      <c r="D19" s="52" t="s">
        <v>343</v>
      </c>
      <c r="E19" s="15" t="s">
        <v>338</v>
      </c>
      <c r="F19" s="15" t="s">
        <v>344</v>
      </c>
      <c r="G19" s="15" t="s">
        <v>306</v>
      </c>
      <c r="H19" s="15" t="s">
        <v>345</v>
      </c>
    </row>
    <row r="20" spans="1:8" ht="51">
      <c r="A20" s="11">
        <f>IF(OR(B20&lt;&gt;0, C20&lt;&gt;0, D20&lt;&gt;0, E20&lt;&gt;0, F20&lt;&gt;0, G20&lt;&gt;0, H20&lt;&gt;0), 17, "")</f>
        <v>17</v>
      </c>
      <c r="B20" s="52" t="s">
        <v>346</v>
      </c>
      <c r="C20" s="97">
        <v>44317</v>
      </c>
      <c r="D20" s="52" t="s">
        <v>347</v>
      </c>
      <c r="E20" s="15" t="s">
        <v>338</v>
      </c>
      <c r="F20" s="15" t="s">
        <v>344</v>
      </c>
      <c r="G20" s="15" t="s">
        <v>303</v>
      </c>
      <c r="H20" s="15" t="s">
        <v>345</v>
      </c>
    </row>
    <row r="21" spans="1:8">
      <c r="A21" s="11" t="str">
        <f>IF(OR(B21&lt;&gt;0, C21&lt;&gt;0, D21&lt;&gt;0, E21&lt;&gt;0, F21&lt;&gt;0, G21&lt;&gt;0, H21&lt;&gt;0), 18, "")</f>
        <v/>
      </c>
      <c r="B21" s="52"/>
      <c r="C21" s="15"/>
      <c r="D21" s="52"/>
      <c r="E21" s="15"/>
      <c r="F21" s="15"/>
      <c r="G21" s="15"/>
      <c r="H21" s="15"/>
    </row>
    <row r="22" spans="1:8">
      <c r="A22" s="11" t="str">
        <f>IF(OR(B22&lt;&gt;0, C22&lt;&gt;0, D22&lt;&gt;0, E22&lt;&gt;0, F22&lt;&gt;0, G22&lt;&gt;0, H22&lt;&gt;0), 19, "")</f>
        <v/>
      </c>
      <c r="B22" s="52"/>
      <c r="C22" s="15"/>
      <c r="D22" s="52"/>
      <c r="E22" s="15"/>
      <c r="F22" s="15"/>
      <c r="G22" s="15"/>
      <c r="H22" s="15"/>
    </row>
    <row r="23" spans="1:8">
      <c r="A23" s="11" t="str">
        <f>IF(OR(B23&lt;&gt;0, C23&lt;&gt;0, D23&lt;&gt;0, E23&lt;&gt;0, F23&lt;&gt;0, G23&lt;&gt;0, H23&lt;&gt;0), 20, "")</f>
        <v/>
      </c>
      <c r="B23" s="52"/>
      <c r="C23" s="15"/>
      <c r="D23" s="52"/>
      <c r="E23" s="15"/>
      <c r="F23" s="15"/>
      <c r="G23" s="15"/>
      <c r="H23" s="15"/>
    </row>
    <row r="24" spans="1:8">
      <c r="A24" s="11" t="str">
        <f>IF(OR(B24&lt;&gt;0, C24&lt;&gt;0, D24&lt;&gt;0, E24&lt;&gt;0, F24&lt;&gt;0, G24&lt;&gt;0, H24&lt;&gt;0), 21, "")</f>
        <v/>
      </c>
      <c r="B24" s="52"/>
      <c r="C24" s="15"/>
      <c r="D24" s="52"/>
      <c r="E24" s="15"/>
      <c r="F24" s="15"/>
      <c r="G24" s="15"/>
      <c r="H24" s="15"/>
    </row>
    <row r="25" spans="1:8">
      <c r="A25" s="11" t="str">
        <f>IF(OR(B25&lt;&gt;0, C25&lt;&gt;0, D25&lt;&gt;0, E25&lt;&gt;0, F25&lt;&gt;0, G25&lt;&gt;0, H25&lt;&gt;0), 22, "")</f>
        <v/>
      </c>
      <c r="B25" s="52"/>
      <c r="C25" s="15"/>
      <c r="D25" s="52"/>
      <c r="E25" s="15"/>
      <c r="F25" s="15"/>
      <c r="G25" s="15"/>
      <c r="H25" s="15"/>
    </row>
    <row r="26" spans="1:8">
      <c r="A26" s="11" t="str">
        <f>IF(OR(B26&lt;&gt;0, C26&lt;&gt;0, D26&lt;&gt;0, E26&lt;&gt;0, F26&lt;&gt;0, G26&lt;&gt;0, H26&lt;&gt;0), 23, "")</f>
        <v/>
      </c>
      <c r="B26" s="52"/>
      <c r="C26" s="15"/>
      <c r="D26" s="52"/>
      <c r="E26" s="15"/>
      <c r="F26" s="15"/>
      <c r="G26" s="15"/>
      <c r="H26" s="15"/>
    </row>
    <row r="27" spans="1:8">
      <c r="A27" s="11" t="str">
        <f>IF(OR(B27&lt;&gt;0, C27&lt;&gt;0, D27&lt;&gt;0, E27&lt;&gt;0, F27&lt;&gt;0, G27&lt;&gt;0, H27&lt;&gt;0), 24, "")</f>
        <v/>
      </c>
      <c r="B27" s="52"/>
      <c r="C27" s="15"/>
      <c r="D27" s="52"/>
      <c r="E27" s="15"/>
      <c r="F27" s="15"/>
      <c r="G27" s="15"/>
      <c r="H27" s="15"/>
    </row>
    <row r="28" spans="1:8">
      <c r="A28" s="11" t="str">
        <f>IF(OR(B28&lt;&gt;0, C28&lt;&gt;0, D28&lt;&gt;0, E28&lt;&gt;0, F28&lt;&gt;0, G28&lt;&gt;0, H28&lt;&gt;0), 25, "")</f>
        <v/>
      </c>
      <c r="B28" s="52"/>
      <c r="C28" s="15"/>
      <c r="D28" s="52"/>
      <c r="E28" s="15"/>
      <c r="F28" s="15"/>
      <c r="G28" s="15"/>
      <c r="H28" s="15"/>
    </row>
    <row r="29" spans="1:8">
      <c r="A29" s="11" t="str">
        <f>IF(OR(B29&lt;&gt;0, C29&lt;&gt;0, D29&lt;&gt;0, E29&lt;&gt;0, F29&lt;&gt;0, G29&lt;&gt;0, H29&lt;&gt;0), 26, "")</f>
        <v/>
      </c>
      <c r="B29" s="52"/>
      <c r="C29" s="15"/>
      <c r="D29" s="52"/>
      <c r="E29" s="15"/>
      <c r="F29" s="15"/>
      <c r="G29" s="15"/>
      <c r="H29" s="15"/>
    </row>
    <row r="30" spans="1:8">
      <c r="A30" s="11" t="str">
        <f>IF(OR(B30&lt;&gt;0, C30&lt;&gt;0, D30&lt;&gt;0, E30&lt;&gt;0, F30&lt;&gt;0, G30&lt;&gt;0, H30&lt;&gt;0), 27, "")</f>
        <v/>
      </c>
      <c r="B30" s="52"/>
      <c r="C30" s="15"/>
      <c r="D30" s="52"/>
      <c r="E30" s="15"/>
      <c r="F30" s="15"/>
      <c r="G30" s="15"/>
      <c r="H30" s="15"/>
    </row>
    <row r="31" spans="1:8">
      <c r="A31" s="11" t="str">
        <f>IF(OR(B31&lt;&gt;0, C31&lt;&gt;0, D31&lt;&gt;0, E31&lt;&gt;0, F31&lt;&gt;0, G31&lt;&gt;0, H31&lt;&gt;0), 28, "")</f>
        <v/>
      </c>
      <c r="B31" s="52"/>
      <c r="C31" s="15"/>
      <c r="D31" s="52"/>
      <c r="E31" s="15"/>
      <c r="F31" s="15"/>
      <c r="G31" s="15"/>
      <c r="H31" s="15"/>
    </row>
    <row r="32" spans="1:8">
      <c r="A32" s="11" t="str">
        <f>IF(OR(B32&lt;&gt;0, C32&lt;&gt;0, D32&lt;&gt;0, E32&lt;&gt;0, F32&lt;&gt;0, G32&lt;&gt;0, H32&lt;&gt;0), 29, "")</f>
        <v/>
      </c>
      <c r="B32" s="52"/>
      <c r="C32" s="15"/>
      <c r="D32" s="52"/>
      <c r="E32" s="15"/>
      <c r="F32" s="15"/>
      <c r="G32" s="15"/>
      <c r="H32" s="15"/>
    </row>
    <row r="33" spans="1:8">
      <c r="A33" s="11" t="str">
        <f>IF(OR(B33&lt;&gt;0, C33&lt;&gt;0, D33&lt;&gt;0, E33&lt;&gt;0, F33&lt;&gt;0, G33&lt;&gt;0, H33&lt;&gt;0), 30, "")</f>
        <v/>
      </c>
      <c r="B33" s="52"/>
      <c r="C33" s="15"/>
      <c r="D33" s="52"/>
      <c r="E33" s="15"/>
      <c r="F33" s="15"/>
      <c r="G33" s="15"/>
      <c r="H33" s="15"/>
    </row>
    <row r="34" spans="1:8">
      <c r="A34" s="11" t="str">
        <f>IF(OR(B34&lt;&gt;0, C34&lt;&gt;0, D34&lt;&gt;0, E34&lt;&gt;0, F34&lt;&gt;0, G34&lt;&gt;0, H34&lt;&gt;0), 31, "")</f>
        <v/>
      </c>
      <c r="B34" s="52"/>
      <c r="C34" s="15"/>
      <c r="D34" s="52"/>
      <c r="E34" s="15"/>
      <c r="F34" s="15"/>
      <c r="G34" s="15"/>
      <c r="H34" s="15"/>
    </row>
    <row r="35" spans="1:8">
      <c r="A35" s="11" t="str">
        <f>IF(OR(B35&lt;&gt;0, C35&lt;&gt;0, D35&lt;&gt;0, E35&lt;&gt;0, F35&lt;&gt;0, G35&lt;&gt;0, H35&lt;&gt;0), 32, "")</f>
        <v/>
      </c>
      <c r="B35" s="52"/>
      <c r="C35" s="15"/>
      <c r="D35" s="52"/>
      <c r="E35" s="15"/>
      <c r="F35" s="15"/>
      <c r="G35" s="15"/>
      <c r="H35" s="15"/>
    </row>
    <row r="36" spans="1:8">
      <c r="A36" s="11" t="str">
        <f>IF(OR(B36&lt;&gt;0, C36&lt;&gt;0, D36&lt;&gt;0, E36&lt;&gt;0, F36&lt;&gt;0, G36&lt;&gt;0, H36&lt;&gt;0), 33, "")</f>
        <v/>
      </c>
      <c r="B36" s="52"/>
      <c r="C36" s="15"/>
      <c r="D36" s="52"/>
      <c r="E36" s="15"/>
      <c r="F36" s="15"/>
      <c r="G36" s="15"/>
      <c r="H36" s="15"/>
    </row>
    <row r="37" spans="1:8">
      <c r="A37" s="11" t="str">
        <f>IF(OR(B37&lt;&gt;0, C37&lt;&gt;0, D37&lt;&gt;0, E37&lt;&gt;0, F37&lt;&gt;0, G37&lt;&gt;0, H37&lt;&gt;0), 34, "")</f>
        <v/>
      </c>
      <c r="B37" s="52"/>
      <c r="C37" s="15"/>
      <c r="D37" s="52"/>
      <c r="E37" s="15"/>
      <c r="F37" s="15"/>
      <c r="G37" s="15"/>
      <c r="H37" s="15"/>
    </row>
    <row r="38" spans="1:8">
      <c r="A38" s="11" t="str">
        <f>IF(OR(B38&lt;&gt;0, C38&lt;&gt;0, D38&lt;&gt;0, E38&lt;&gt;0, F38&lt;&gt;0, G38&lt;&gt;0, H38&lt;&gt;0), 35, "")</f>
        <v/>
      </c>
      <c r="B38" s="52"/>
      <c r="C38" s="15"/>
      <c r="D38" s="52"/>
      <c r="E38" s="15"/>
      <c r="F38" s="15"/>
      <c r="G38" s="15"/>
      <c r="H38" s="15"/>
    </row>
    <row r="39" spans="1:8">
      <c r="A39" s="11" t="str">
        <f>IF(OR(B39&lt;&gt;0, C39&lt;&gt;0, D39&lt;&gt;0, E39&lt;&gt;0, F39&lt;&gt;0, G39&lt;&gt;0, H39&lt;&gt;0), 36, "")</f>
        <v/>
      </c>
      <c r="B39" s="52"/>
      <c r="C39" s="15"/>
      <c r="D39" s="52"/>
      <c r="E39" s="15"/>
      <c r="F39" s="15"/>
      <c r="G39" s="15"/>
      <c r="H39" s="15"/>
    </row>
    <row r="40" spans="1:8">
      <c r="A40" s="11" t="str">
        <f>IF(OR(B40&lt;&gt;0, C40&lt;&gt;0, D40&lt;&gt;0, E40&lt;&gt;0, F40&lt;&gt;0, G40&lt;&gt;0, H40&lt;&gt;0), 37, "")</f>
        <v/>
      </c>
      <c r="B40" s="52"/>
      <c r="C40" s="15"/>
      <c r="D40" s="52"/>
      <c r="E40" s="15"/>
      <c r="F40" s="15"/>
      <c r="G40" s="15"/>
      <c r="H40" s="15"/>
    </row>
    <row r="41" spans="1:8">
      <c r="A41" s="11" t="str">
        <f>IF(OR(B41&lt;&gt;0, C41&lt;&gt;0, D41&lt;&gt;0, E41&lt;&gt;0, F41&lt;&gt;0, G41&lt;&gt;0, H41&lt;&gt;0), 38, "")</f>
        <v/>
      </c>
      <c r="B41" s="52"/>
      <c r="C41" s="15"/>
      <c r="D41" s="52"/>
      <c r="E41" s="15"/>
      <c r="F41" s="15"/>
      <c r="G41" s="15"/>
      <c r="H41" s="15"/>
    </row>
    <row r="42" spans="1:8">
      <c r="A42" s="11" t="str">
        <f>IF(OR(B42&lt;&gt;0, C42&lt;&gt;0, D42&lt;&gt;0, E42&lt;&gt;0, F42&lt;&gt;0, G42&lt;&gt;0, H42&lt;&gt;0), 39, "")</f>
        <v/>
      </c>
      <c r="B42" s="52"/>
      <c r="C42" s="15"/>
      <c r="D42" s="52"/>
      <c r="E42" s="15"/>
      <c r="F42" s="15"/>
      <c r="G42" s="15"/>
      <c r="H42" s="15"/>
    </row>
    <row r="43" spans="1:8">
      <c r="A43" s="11" t="str">
        <f>IF(OR(B43&lt;&gt;0, C43&lt;&gt;0, D43&lt;&gt;0, E43&lt;&gt;0, F43&lt;&gt;0, G43&lt;&gt;0, H43&lt;&gt;0), 40, "")</f>
        <v/>
      </c>
      <c r="B43" s="52"/>
      <c r="C43" s="15"/>
      <c r="D43" s="52"/>
      <c r="E43" s="15"/>
      <c r="F43" s="15"/>
      <c r="G43" s="15"/>
      <c r="H43" s="15"/>
    </row>
    <row r="44" spans="1:8">
      <c r="A44" s="11" t="str">
        <f>IF(OR(B44&lt;&gt;0, C44&lt;&gt;0, D44&lt;&gt;0, E44&lt;&gt;0, F44&lt;&gt;0, G44&lt;&gt;0, H44&lt;&gt;0), 41, "")</f>
        <v/>
      </c>
      <c r="B44" s="52"/>
      <c r="C44" s="15"/>
      <c r="D44" s="52"/>
      <c r="E44" s="15"/>
      <c r="F44" s="15"/>
      <c r="G44" s="15"/>
      <c r="H44" s="15"/>
    </row>
    <row r="45" spans="1:8">
      <c r="A45" s="11" t="str">
        <f>IF(OR(B45&lt;&gt;0, C45&lt;&gt;0, D45&lt;&gt;0, E45&lt;&gt;0, F45&lt;&gt;0, G45&lt;&gt;0, H45&lt;&gt;0), 42, "")</f>
        <v/>
      </c>
      <c r="B45" s="52"/>
      <c r="C45" s="15"/>
      <c r="D45" s="52"/>
      <c r="E45" s="15"/>
      <c r="F45" s="15"/>
      <c r="G45" s="15"/>
      <c r="H45" s="15"/>
    </row>
    <row r="46" spans="1:8">
      <c r="A46" s="11" t="str">
        <f>IF(OR(B46&lt;&gt;0, C46&lt;&gt;0, D46&lt;&gt;0, E46&lt;&gt;0, F46&lt;&gt;0, G46&lt;&gt;0, H46&lt;&gt;0), 43, "")</f>
        <v/>
      </c>
      <c r="B46" s="52"/>
      <c r="C46" s="15"/>
      <c r="D46" s="52"/>
      <c r="E46" s="15"/>
      <c r="F46" s="15"/>
      <c r="G46" s="15"/>
      <c r="H46" s="15"/>
    </row>
    <row r="47" spans="1:8">
      <c r="A47" s="11" t="str">
        <f>IF(OR(B47&lt;&gt;0, C47&lt;&gt;0, D47&lt;&gt;0, E47&lt;&gt;0, F47&lt;&gt;0, G47&lt;&gt;0, H47&lt;&gt;0), 44, "")</f>
        <v/>
      </c>
      <c r="B47" s="52"/>
      <c r="C47" s="15"/>
      <c r="D47" s="52"/>
      <c r="E47" s="15"/>
      <c r="F47" s="15"/>
      <c r="G47" s="15"/>
      <c r="H47" s="15"/>
    </row>
    <row r="48" spans="1:8">
      <c r="A48" s="11" t="str">
        <f>IF(OR(B48&lt;&gt;0, C48&lt;&gt;0, D48&lt;&gt;0, E48&lt;&gt;0, F48&lt;&gt;0, G48&lt;&gt;0, H48&lt;&gt;0), 45, "")</f>
        <v/>
      </c>
      <c r="B48" s="52"/>
      <c r="C48" s="15"/>
      <c r="D48" s="52"/>
      <c r="E48" s="15"/>
      <c r="F48" s="15"/>
      <c r="G48" s="15"/>
      <c r="H48" s="15"/>
    </row>
    <row r="49" spans="1:8">
      <c r="A49" s="11" t="str">
        <f>IF(OR(B49&lt;&gt;0, C49&lt;&gt;0, D49&lt;&gt;0, E49&lt;&gt;0, F49&lt;&gt;0, G49&lt;&gt;0, H49&lt;&gt;0), 46, "")</f>
        <v/>
      </c>
      <c r="B49" s="52"/>
      <c r="C49" s="15"/>
      <c r="D49" s="52"/>
      <c r="E49" s="15"/>
      <c r="F49" s="15"/>
      <c r="G49" s="15"/>
      <c r="H49" s="15"/>
    </row>
    <row r="50" spans="1:8">
      <c r="A50" s="11" t="str">
        <f>IF(OR(B50&lt;&gt;0, C50&lt;&gt;0, D50&lt;&gt;0, E50&lt;&gt;0, F50&lt;&gt;0, G50&lt;&gt;0, H50&lt;&gt;0), 47, "")</f>
        <v/>
      </c>
      <c r="B50" s="52"/>
      <c r="C50" s="15"/>
      <c r="D50" s="52"/>
      <c r="E50" s="15"/>
      <c r="F50" s="15"/>
      <c r="G50" s="15"/>
      <c r="H50" s="15"/>
    </row>
    <row r="51" spans="1:8">
      <c r="A51" s="11" t="str">
        <f>IF(OR(B51&lt;&gt;0, C51&lt;&gt;0, D51&lt;&gt;0, E51&lt;&gt;0, F51&lt;&gt;0, G51&lt;&gt;0, H51&lt;&gt;0), 48, "")</f>
        <v/>
      </c>
      <c r="B51" s="52"/>
      <c r="C51" s="15"/>
      <c r="D51" s="52"/>
      <c r="E51" s="15"/>
      <c r="F51" s="15"/>
      <c r="G51" s="15"/>
      <c r="H51" s="15"/>
    </row>
    <row r="52" spans="1:8">
      <c r="A52" s="11" t="str">
        <f>IF(OR(B52&lt;&gt;0, C52&lt;&gt;0, D52&lt;&gt;0, E52&lt;&gt;0, F52&lt;&gt;0, G52&lt;&gt;0, H52&lt;&gt;0), 49, "")</f>
        <v/>
      </c>
      <c r="B52" s="52"/>
      <c r="C52" s="15"/>
      <c r="D52" s="52"/>
      <c r="E52" s="15"/>
      <c r="F52" s="15"/>
      <c r="G52" s="15"/>
      <c r="H52" s="15"/>
    </row>
    <row r="53" spans="1:8">
      <c r="A53" s="11" t="str">
        <f>IF(OR(B53&lt;&gt;0, C53&lt;&gt;0, D53&lt;&gt;0, E53&lt;&gt;0, F53&lt;&gt;0, G53&lt;&gt;0, H53&lt;&gt;0), 50, "")</f>
        <v/>
      </c>
      <c r="B53" s="52"/>
      <c r="C53" s="15"/>
      <c r="D53" s="52"/>
      <c r="E53" s="15"/>
      <c r="F53" s="15"/>
      <c r="G53" s="15"/>
      <c r="H53" s="15"/>
    </row>
    <row r="54" spans="1:8">
      <c r="A54" s="11" t="str">
        <f>IF(OR(B54&lt;&gt;0, C54&lt;&gt;0, D54&lt;&gt;0, E54&lt;&gt;0, F54&lt;&gt;0, G54&lt;&gt;0, H54&lt;&gt;0), 51, "")</f>
        <v/>
      </c>
      <c r="B54" s="52"/>
      <c r="C54" s="15"/>
      <c r="D54" s="52"/>
      <c r="E54" s="15"/>
      <c r="F54" s="15"/>
      <c r="G54" s="15"/>
      <c r="H54" s="15"/>
    </row>
    <row r="55" spans="1:8">
      <c r="A55" s="11" t="str">
        <f>IF(OR(B55&lt;&gt;0, C55&lt;&gt;0, D55&lt;&gt;0, E55&lt;&gt;0, F55&lt;&gt;0, G55&lt;&gt;0, H55&lt;&gt;0), 52, "")</f>
        <v/>
      </c>
      <c r="B55" s="52"/>
      <c r="C55" s="15"/>
      <c r="D55" s="52"/>
      <c r="E55" s="15"/>
      <c r="F55" s="15"/>
      <c r="G55" s="15"/>
      <c r="H55" s="15"/>
    </row>
    <row r="56" spans="1:8">
      <c r="A56" s="11" t="str">
        <f>IF(OR(B56&lt;&gt;0, C56&lt;&gt;0, D56&lt;&gt;0, E56&lt;&gt;0, F56&lt;&gt;0, G56&lt;&gt;0, H56&lt;&gt;0), 53, "")</f>
        <v/>
      </c>
      <c r="B56" s="52"/>
      <c r="C56" s="15"/>
      <c r="D56" s="52"/>
      <c r="E56" s="15"/>
      <c r="F56" s="15"/>
      <c r="G56" s="15"/>
      <c r="H56" s="15"/>
    </row>
    <row r="57" spans="1:8">
      <c r="A57" s="11" t="str">
        <f>IF(OR(B57&lt;&gt;0, C57&lt;&gt;0, D57&lt;&gt;0, E57&lt;&gt;0, F57&lt;&gt;0, G57&lt;&gt;0, H57&lt;&gt;0), 54, "")</f>
        <v/>
      </c>
      <c r="B57" s="52"/>
      <c r="C57" s="15"/>
      <c r="D57" s="52"/>
      <c r="E57" s="15"/>
      <c r="F57" s="15"/>
      <c r="G57" s="15"/>
      <c r="H57" s="15"/>
    </row>
    <row r="58" spans="1:8">
      <c r="A58" s="11" t="str">
        <f>IF(OR(B58&lt;&gt;0, C58&lt;&gt;0, D58&lt;&gt;0, E58&lt;&gt;0, F58&lt;&gt;0, G58&lt;&gt;0, H58&lt;&gt;0), 55, "")</f>
        <v/>
      </c>
      <c r="B58" s="52"/>
      <c r="C58" s="15"/>
      <c r="D58" s="52"/>
      <c r="E58" s="15"/>
      <c r="F58" s="15"/>
      <c r="G58" s="15"/>
      <c r="H58" s="15"/>
    </row>
    <row r="59" spans="1:8">
      <c r="A59" s="11" t="str">
        <f>IF(OR(B59&lt;&gt;0, C59&lt;&gt;0, D59&lt;&gt;0, E59&lt;&gt;0, F59&lt;&gt;0, G59&lt;&gt;0, H59&lt;&gt;0), 56, "")</f>
        <v/>
      </c>
      <c r="B59" s="52"/>
      <c r="C59" s="15"/>
      <c r="D59" s="52"/>
      <c r="E59" s="15"/>
      <c r="F59" s="15"/>
      <c r="G59" s="15"/>
      <c r="H59" s="15"/>
    </row>
    <row r="60" spans="1:8">
      <c r="A60" s="11" t="str">
        <f>IF(OR(B60&lt;&gt;0, C60&lt;&gt;0, D60&lt;&gt;0, E60&lt;&gt;0, F60&lt;&gt;0, G60&lt;&gt;0, H60&lt;&gt;0), 57, "")</f>
        <v/>
      </c>
      <c r="B60" s="52"/>
      <c r="C60" s="15"/>
      <c r="D60" s="52"/>
      <c r="E60" s="15"/>
      <c r="F60" s="15"/>
      <c r="G60" s="15"/>
      <c r="H60" s="15"/>
    </row>
    <row r="61" spans="1:8">
      <c r="A61" s="11" t="str">
        <f>IF(OR(B61&lt;&gt;0, C61&lt;&gt;0, D61&lt;&gt;0, E61&lt;&gt;0, F61&lt;&gt;0, G61&lt;&gt;0, H61&lt;&gt;0), 58, "")</f>
        <v/>
      </c>
      <c r="B61" s="52"/>
      <c r="C61" s="15"/>
      <c r="D61" s="52"/>
      <c r="E61" s="15"/>
      <c r="F61" s="15"/>
      <c r="G61" s="15"/>
      <c r="H61" s="15"/>
    </row>
    <row r="62" spans="1:8">
      <c r="A62" s="11" t="str">
        <f>IF(OR(B62&lt;&gt;0, C62&lt;&gt;0, D62&lt;&gt;0, E62&lt;&gt;0, F62&lt;&gt;0, G62&lt;&gt;0, H62&lt;&gt;0), 59, "")</f>
        <v/>
      </c>
      <c r="B62" s="52"/>
      <c r="C62" s="15"/>
      <c r="D62" s="52"/>
      <c r="E62" s="15"/>
      <c r="F62" s="15"/>
      <c r="G62" s="15"/>
      <c r="H62" s="15"/>
    </row>
    <row r="63" spans="1:8">
      <c r="A63" s="11" t="str">
        <f>IF(OR(B63&lt;&gt;0, C63&lt;&gt;0, D63&lt;&gt;0, E63&lt;&gt;0, F63&lt;&gt;0, G63&lt;&gt;0, H63&lt;&gt;0), 60, "")</f>
        <v/>
      </c>
      <c r="B63" s="52"/>
      <c r="C63" s="15"/>
      <c r="D63" s="52"/>
      <c r="E63" s="15"/>
      <c r="F63" s="15"/>
      <c r="G63" s="15"/>
      <c r="H63" s="15"/>
    </row>
    <row r="64" spans="1:8">
      <c r="A64" s="11" t="str">
        <f>IF(OR(B64&lt;&gt;0, C64&lt;&gt;0, D64&lt;&gt;0, E64&lt;&gt;0, F64&lt;&gt;0, G64&lt;&gt;0, H64&lt;&gt;0), 61, "")</f>
        <v/>
      </c>
      <c r="B64" s="52"/>
      <c r="C64" s="15"/>
      <c r="D64" s="52"/>
      <c r="E64" s="15"/>
      <c r="F64" s="15"/>
      <c r="G64" s="15"/>
      <c r="H64" s="15"/>
    </row>
    <row r="65" spans="1:8">
      <c r="A65" s="11" t="str">
        <f>IF(OR(B65&lt;&gt;0, C65&lt;&gt;0, D65&lt;&gt;0, E65&lt;&gt;0, F65&lt;&gt;0, G65&lt;&gt;0, H65&lt;&gt;0), 62, "")</f>
        <v/>
      </c>
      <c r="B65" s="52"/>
      <c r="C65" s="15"/>
      <c r="D65" s="52"/>
      <c r="E65" s="15"/>
      <c r="F65" s="15"/>
      <c r="G65" s="15"/>
      <c r="H65" s="15"/>
    </row>
    <row r="66" spans="1:8">
      <c r="A66" s="11" t="str">
        <f>IF(OR(B66&lt;&gt;0, C66&lt;&gt;0, D66&lt;&gt;0, E66&lt;&gt;0, F66&lt;&gt;0, G66&lt;&gt;0, H66&lt;&gt;0), 63, "")</f>
        <v/>
      </c>
      <c r="B66" s="52"/>
      <c r="C66" s="15"/>
      <c r="D66" s="52"/>
      <c r="E66" s="15"/>
      <c r="F66" s="15"/>
      <c r="G66" s="15"/>
      <c r="H66" s="15"/>
    </row>
    <row r="67" spans="1:8">
      <c r="A67" s="11" t="str">
        <f>IF(OR(B67&lt;&gt;0, C67&lt;&gt;0, D67&lt;&gt;0, E67&lt;&gt;0, F67&lt;&gt;0, G67&lt;&gt;0, H67&lt;&gt;0), 64, "")</f>
        <v/>
      </c>
      <c r="B67" s="52"/>
      <c r="C67" s="15"/>
      <c r="D67" s="52"/>
      <c r="E67" s="15"/>
      <c r="F67" s="15"/>
      <c r="G67" s="15"/>
      <c r="H67" s="15"/>
    </row>
    <row r="68" spans="1:8">
      <c r="A68" s="11" t="str">
        <f>IF(OR(B68&lt;&gt;0, C68&lt;&gt;0, D68&lt;&gt;0, E68&lt;&gt;0, F68&lt;&gt;0, G68&lt;&gt;0, H68&lt;&gt;0), 65, "")</f>
        <v/>
      </c>
      <c r="B68" s="52"/>
      <c r="C68" s="15"/>
      <c r="D68" s="52"/>
      <c r="E68" s="15"/>
      <c r="F68" s="15"/>
      <c r="G68" s="15"/>
      <c r="H68" s="15"/>
    </row>
    <row r="69" spans="1:8">
      <c r="A69" s="11" t="str">
        <f>IF(OR(B69&lt;&gt;0, C69&lt;&gt;0, D69&lt;&gt;0, E69&lt;&gt;0, F69&lt;&gt;0, G69&lt;&gt;0, H69&lt;&gt;0), 66, "")</f>
        <v/>
      </c>
      <c r="B69" s="52"/>
      <c r="C69" s="15"/>
      <c r="D69" s="52"/>
      <c r="E69" s="15"/>
      <c r="F69" s="15"/>
      <c r="G69" s="15"/>
      <c r="H69" s="15"/>
    </row>
    <row r="70" spans="1:8">
      <c r="A70" s="11" t="str">
        <f>IF(OR(B70&lt;&gt;0, C70&lt;&gt;0, D70&lt;&gt;0, E70&lt;&gt;0, F70&lt;&gt;0, G70&lt;&gt;0, H70&lt;&gt;0), 67, "")</f>
        <v/>
      </c>
      <c r="B70" s="52"/>
      <c r="C70" s="15"/>
      <c r="D70" s="52"/>
      <c r="E70" s="15"/>
      <c r="F70" s="15"/>
      <c r="G70" s="15"/>
      <c r="H70" s="15"/>
    </row>
    <row r="71" spans="1:8">
      <c r="A71" s="11" t="str">
        <f>IF(OR(B71&lt;&gt;0, C71&lt;&gt;0, D71&lt;&gt;0, E71&lt;&gt;0, F71&lt;&gt;0, G71&lt;&gt;0, H71&lt;&gt;0), 68, "")</f>
        <v/>
      </c>
      <c r="B71" s="52"/>
      <c r="C71" s="15"/>
      <c r="D71" s="52"/>
      <c r="E71" s="15"/>
      <c r="F71" s="15"/>
      <c r="G71" s="15"/>
      <c r="H71" s="15"/>
    </row>
    <row r="72" spans="1:8">
      <c r="A72" s="11" t="str">
        <f>IF(OR(B72&lt;&gt;0, C72&lt;&gt;0, D72&lt;&gt;0, E72&lt;&gt;0, F72&lt;&gt;0, G72&lt;&gt;0, H72&lt;&gt;0), 69, "")</f>
        <v/>
      </c>
      <c r="B72" s="52"/>
      <c r="C72" s="15"/>
      <c r="D72" s="52"/>
      <c r="E72" s="15"/>
      <c r="F72" s="15"/>
      <c r="G72" s="15"/>
      <c r="H72" s="15"/>
    </row>
    <row r="73" spans="1:8">
      <c r="A73" s="11" t="str">
        <f>IF(OR(B73&lt;&gt;0, C73&lt;&gt;0, D73&lt;&gt;0, E73&lt;&gt;0, F73&lt;&gt;0, G73&lt;&gt;0, H73&lt;&gt;0), 70, "")</f>
        <v/>
      </c>
      <c r="B73" s="52"/>
      <c r="C73" s="15"/>
      <c r="D73" s="52"/>
      <c r="E73" s="15"/>
      <c r="F73" s="15"/>
      <c r="G73" s="15"/>
      <c r="H73" s="15"/>
    </row>
    <row r="74" spans="1:8">
      <c r="A74" s="11" t="str">
        <f>IF(OR(B74&lt;&gt;0, C74&lt;&gt;0, D74&lt;&gt;0, E74&lt;&gt;0, F74&lt;&gt;0, G74&lt;&gt;0, H74&lt;&gt;0), 71, "")</f>
        <v/>
      </c>
      <c r="B74" s="52"/>
      <c r="C74" s="15"/>
      <c r="D74" s="52"/>
      <c r="E74" s="15"/>
      <c r="F74" s="15"/>
      <c r="G74" s="15"/>
      <c r="H74" s="15"/>
    </row>
    <row r="75" spans="1:8">
      <c r="A75" s="11" t="str">
        <f>IF(OR(B75&lt;&gt;0, C75&lt;&gt;0, D75&lt;&gt;0, E75&lt;&gt;0, F75&lt;&gt;0, G75&lt;&gt;0, H75&lt;&gt;0), 72, "")</f>
        <v/>
      </c>
      <c r="B75" s="52"/>
      <c r="C75" s="15"/>
      <c r="D75" s="52"/>
      <c r="E75" s="15"/>
      <c r="F75" s="15"/>
      <c r="G75" s="15"/>
      <c r="H75" s="15"/>
    </row>
    <row r="76" spans="1:8">
      <c r="A76" s="72"/>
      <c r="B76" s="72"/>
      <c r="C76" s="72"/>
      <c r="D76" s="72"/>
      <c r="E76" s="72"/>
      <c r="F76" s="72"/>
      <c r="G76" s="72"/>
      <c r="H76" s="72"/>
    </row>
  </sheetData>
  <sheetProtection selectLockedCells="1"/>
  <mergeCells count="1">
    <mergeCell ref="A1:H1"/>
  </mergeCells>
  <conditionalFormatting sqref="B76:H76 B4:F75 H4:H75">
    <cfRule type="cellIs" dxfId="12" priority="3" operator="greaterThan">
      <formula>0</formula>
    </cfRule>
  </conditionalFormatting>
  <conditionalFormatting sqref="A4:A75">
    <cfRule type="cellIs" dxfId="11" priority="2" operator="between">
      <formula>0</formula>
      <formula>72</formula>
    </cfRule>
  </conditionalFormatting>
  <conditionalFormatting sqref="G4:G75">
    <cfRule type="cellIs" dxfId="10" priority="1" operator="greaterThan">
      <formula>0</formula>
    </cfRule>
  </conditionalFormatting>
  <dataValidations count="1">
    <dataValidation type="list" allowBlank="1" showInputMessage="1" showErrorMessage="1" sqref="G4:G75">
      <formula1>"Гран-При, Диплом (лауреата) I степени, Диплом (лауреата) II степени, Диплом (лауреата) III степени, Дипломант, Специальные награды"</formula1>
    </dataValidation>
  </dataValidations>
  <pageMargins left="0.70866141732283472" right="0.70866141732283472" top="0.74803149606299213" bottom="0.74803149606299213" header="0.31496062992125984" footer="0.31496062992125984"/>
  <pageSetup paperSize="9" orientation="landscape" r:id="rId1"/>
  <headerFooter>
    <oddHeader>&amp;R&amp;"Times New Roman,обычный"&amp;10Анализ деятельности образовательного учреждения культурыпо итогам 2020-2021 учебного года</oddHeader>
    <oddFooter>&amp;C&amp;P</oddFooter>
  </headerFooter>
  <legacyDrawing r:id="rId2"/>
</worksheet>
</file>

<file path=xl/worksheets/sheet17.xml><?xml version="1.0" encoding="utf-8"?>
<worksheet xmlns="http://schemas.openxmlformats.org/spreadsheetml/2006/main" xmlns:r="http://schemas.openxmlformats.org/officeDocument/2006/relationships">
  <dimension ref="A1:H75"/>
  <sheetViews>
    <sheetView showWhiteSpace="0" view="pageLayout" topLeftCell="A48" workbookViewId="0">
      <selection activeCell="F9" sqref="F9"/>
    </sheetView>
  </sheetViews>
  <sheetFormatPr defaultRowHeight="12.75"/>
  <cols>
    <col min="1" max="1" width="3.85546875" style="9" customWidth="1"/>
    <col min="2" max="2" width="34.7109375" style="9" customWidth="1"/>
    <col min="3" max="3" width="11.28515625" style="9" customWidth="1"/>
    <col min="4" max="4" width="17.28515625" style="9" customWidth="1"/>
    <col min="5" max="5" width="14.7109375" style="9" customWidth="1"/>
    <col min="6" max="6" width="18.7109375" style="9" customWidth="1"/>
    <col min="7" max="7" width="11.5703125" style="9" customWidth="1"/>
    <col min="8" max="8" width="18.7109375" style="9" customWidth="1"/>
    <col min="9" max="16384" width="9.140625" style="9"/>
  </cols>
  <sheetData>
    <row r="1" spans="1:8" ht="33" customHeight="1">
      <c r="A1" s="133" t="s">
        <v>160</v>
      </c>
      <c r="B1" s="133"/>
      <c r="C1" s="133"/>
      <c r="D1" s="133"/>
      <c r="E1" s="133"/>
      <c r="F1" s="133"/>
      <c r="G1" s="133"/>
      <c r="H1" s="133"/>
    </row>
    <row r="3" spans="1:8" ht="25.5">
      <c r="A3" s="39" t="s">
        <v>23</v>
      </c>
      <c r="B3" s="39" t="s">
        <v>143</v>
      </c>
      <c r="C3" s="39" t="s">
        <v>144</v>
      </c>
      <c r="D3" s="39" t="s">
        <v>145</v>
      </c>
      <c r="E3" s="39" t="s">
        <v>146</v>
      </c>
      <c r="F3" s="39" t="s">
        <v>147</v>
      </c>
      <c r="G3" s="39" t="s">
        <v>148</v>
      </c>
      <c r="H3" s="39" t="s">
        <v>149</v>
      </c>
    </row>
    <row r="4" spans="1:8" ht="51">
      <c r="A4" s="11">
        <f>IF(OR(B4&lt;&gt;0, C4&lt;&gt;0, D4&lt;&gt;0, E4&lt;&gt;0, F4&lt;&gt;0, G4&lt;&gt;0, H4&lt;&gt;0), 1, "")</f>
        <v>1</v>
      </c>
      <c r="B4" s="52" t="s">
        <v>348</v>
      </c>
      <c r="C4" s="15" t="s">
        <v>349</v>
      </c>
      <c r="D4" s="52" t="s">
        <v>350</v>
      </c>
      <c r="E4" s="15" t="s">
        <v>67</v>
      </c>
      <c r="F4" s="15" t="s">
        <v>312</v>
      </c>
      <c r="G4" s="15"/>
      <c r="H4" s="15" t="s">
        <v>314</v>
      </c>
    </row>
    <row r="5" spans="1:8" ht="38.25">
      <c r="A5" s="11">
        <f>IF(OR(B5&lt;&gt;0, C5&lt;&gt;0, D5&lt;&gt;0, E5&lt;&gt;0, F5&lt;&gt;0, G5&lt;&gt;0, H5&lt;&gt;0), 2, "")</f>
        <v>2</v>
      </c>
      <c r="B5" s="52" t="s">
        <v>351</v>
      </c>
      <c r="C5" s="15" t="s">
        <v>352</v>
      </c>
      <c r="D5" s="52" t="s">
        <v>353</v>
      </c>
      <c r="E5" s="15" t="s">
        <v>212</v>
      </c>
      <c r="F5" s="15" t="s">
        <v>339</v>
      </c>
      <c r="G5" s="15" t="s">
        <v>303</v>
      </c>
      <c r="H5" s="15" t="s">
        <v>354</v>
      </c>
    </row>
    <row r="6" spans="1:8" ht="25.5">
      <c r="A6" s="11">
        <f>IF(OR(B6&lt;&gt;0, C6&lt;&gt;0, D6&lt;&gt;0, E6&lt;&gt;0, F6&lt;&gt;0, G6&lt;&gt;0, H6&lt;&gt;0), 3, "")</f>
        <v>3</v>
      </c>
      <c r="B6" s="52" t="s">
        <v>355</v>
      </c>
      <c r="C6" s="15" t="s">
        <v>356</v>
      </c>
      <c r="D6" s="52" t="s">
        <v>357</v>
      </c>
      <c r="E6" s="15" t="s">
        <v>65</v>
      </c>
      <c r="F6" s="15" t="s">
        <v>358</v>
      </c>
      <c r="G6" s="15"/>
      <c r="H6" s="15" t="s">
        <v>220</v>
      </c>
    </row>
    <row r="7" spans="1:8" ht="38.25">
      <c r="A7" s="11">
        <f>IF(OR(B7&lt;&gt;0, C7&lt;&gt;0, D7&lt;&gt;0, E7&lt;&gt;0, F7&lt;&gt;0, G7&lt;&gt;0, H7&lt;&gt;0), 4, "")</f>
        <v>4</v>
      </c>
      <c r="B7" s="52" t="s">
        <v>359</v>
      </c>
      <c r="C7" s="15" t="s">
        <v>360</v>
      </c>
      <c r="D7" s="52" t="s">
        <v>361</v>
      </c>
      <c r="E7" s="15" t="s">
        <v>172</v>
      </c>
      <c r="F7" s="15" t="s">
        <v>362</v>
      </c>
      <c r="G7" s="15" t="s">
        <v>306</v>
      </c>
      <c r="H7" s="15" t="s">
        <v>215</v>
      </c>
    </row>
    <row r="8" spans="1:8" ht="25.5">
      <c r="A8" s="11">
        <f>IF(OR(B8&lt;&gt;0, C8&lt;&gt;0, D8&lt;&gt;0, E8&lt;&gt;0, F8&lt;&gt;0, G8&lt;&gt;0, H8&lt;&gt;0), 5, "")</f>
        <v>5</v>
      </c>
      <c r="B8" s="52" t="s">
        <v>359</v>
      </c>
      <c r="C8" s="15" t="s">
        <v>363</v>
      </c>
      <c r="D8" s="52" t="s">
        <v>361</v>
      </c>
      <c r="E8" s="15" t="s">
        <v>172</v>
      </c>
      <c r="F8" s="15" t="s">
        <v>548</v>
      </c>
      <c r="G8" s="15" t="s">
        <v>335</v>
      </c>
      <c r="H8" s="15" t="s">
        <v>231</v>
      </c>
    </row>
    <row r="9" spans="1:8" ht="51">
      <c r="A9" s="11">
        <f>IF(OR(B9&lt;&gt;0, C9&lt;&gt;0, D9&lt;&gt;0, E9&lt;&gt;0, F9&lt;&gt;0, G9&lt;&gt;0, H9&lt;&gt;0), 6, "")</f>
        <v>6</v>
      </c>
      <c r="B9" s="52" t="s">
        <v>364</v>
      </c>
      <c r="C9" s="15" t="s">
        <v>365</v>
      </c>
      <c r="D9" s="52" t="s">
        <v>366</v>
      </c>
      <c r="E9" s="15" t="s">
        <v>367</v>
      </c>
      <c r="F9" s="15" t="s">
        <v>557</v>
      </c>
      <c r="G9" s="15" t="s">
        <v>335</v>
      </c>
      <c r="H9" s="15" t="s">
        <v>368</v>
      </c>
    </row>
    <row r="10" spans="1:8" ht="38.25">
      <c r="A10" s="11">
        <f>IF(OR(B10&lt;&gt;0, C10&lt;&gt;0, D10&lt;&gt;0, E10&lt;&gt;0, F10&lt;&gt;0, G10&lt;&gt;0, H10&lt;&gt;0), 7, "")</f>
        <v>7</v>
      </c>
      <c r="B10" s="52" t="s">
        <v>369</v>
      </c>
      <c r="C10" s="15" t="s">
        <v>370</v>
      </c>
      <c r="D10" s="52" t="s">
        <v>353</v>
      </c>
      <c r="E10" s="15" t="s">
        <v>371</v>
      </c>
      <c r="F10" s="15" t="s">
        <v>372</v>
      </c>
      <c r="G10" s="15" t="s">
        <v>313</v>
      </c>
      <c r="H10" s="15" t="s">
        <v>222</v>
      </c>
    </row>
    <row r="11" spans="1:8" ht="38.25">
      <c r="A11" s="11">
        <f>IF(OR(B11&lt;&gt;0, C11&lt;&gt;0, D11&lt;&gt;0, E11&lt;&gt;0, F11&lt;&gt;0, G11&lt;&gt;0, H11&lt;&gt;0), 8, "")</f>
        <v>8</v>
      </c>
      <c r="B11" s="52" t="s">
        <v>369</v>
      </c>
      <c r="C11" s="15" t="s">
        <v>370</v>
      </c>
      <c r="D11" s="52" t="s">
        <v>373</v>
      </c>
      <c r="E11" s="15" t="s">
        <v>172</v>
      </c>
      <c r="F11" s="15" t="s">
        <v>374</v>
      </c>
      <c r="G11" s="15" t="s">
        <v>313</v>
      </c>
      <c r="H11" s="15" t="s">
        <v>375</v>
      </c>
    </row>
    <row r="12" spans="1:8" ht="38.25">
      <c r="A12" s="11">
        <f>IF(OR(B12&lt;&gt;0, C12&lt;&gt;0, D12&lt;&gt;0, E12&lt;&gt;0, F12&lt;&gt;0, G12&lt;&gt;0, H12&lt;&gt;0), 9, "")</f>
        <v>9</v>
      </c>
      <c r="B12" s="52" t="s">
        <v>369</v>
      </c>
      <c r="C12" s="15" t="s">
        <v>370</v>
      </c>
      <c r="D12" s="52" t="s">
        <v>373</v>
      </c>
      <c r="E12" s="15" t="s">
        <v>172</v>
      </c>
      <c r="F12" s="15" t="s">
        <v>556</v>
      </c>
      <c r="G12" s="15" t="s">
        <v>313</v>
      </c>
      <c r="H12" s="15" t="s">
        <v>375</v>
      </c>
    </row>
    <row r="13" spans="1:8" ht="38.25">
      <c r="A13" s="11">
        <f>IF(OR(B13&lt;&gt;0, C13&lt;&gt;0, D13&lt;&gt;0, E13&lt;&gt;0, F13&lt;&gt;0, G13&lt;&gt;0, H13&lt;&gt;0), 10, "")</f>
        <v>10</v>
      </c>
      <c r="B13" s="52" t="s">
        <v>369</v>
      </c>
      <c r="C13" s="15" t="s">
        <v>370</v>
      </c>
      <c r="D13" s="52" t="s">
        <v>373</v>
      </c>
      <c r="E13" s="15" t="s">
        <v>172</v>
      </c>
      <c r="F13" s="15" t="s">
        <v>555</v>
      </c>
      <c r="G13" s="15" t="s">
        <v>303</v>
      </c>
      <c r="H13" s="15" t="s">
        <v>375</v>
      </c>
    </row>
    <row r="14" spans="1:8" ht="25.5">
      <c r="A14" s="11">
        <f>IF(OR(B14&lt;&gt;0, C14&lt;&gt;0, D14&lt;&gt;0, E14&lt;&gt;0, F14&lt;&gt;0, G14&lt;&gt;0, H14&lt;&gt;0), 11, "")</f>
        <v>11</v>
      </c>
      <c r="B14" s="52" t="s">
        <v>376</v>
      </c>
      <c r="C14" s="15" t="s">
        <v>377</v>
      </c>
      <c r="D14" s="52" t="s">
        <v>378</v>
      </c>
      <c r="E14" s="15" t="s">
        <v>65</v>
      </c>
      <c r="F14" s="15" t="s">
        <v>358</v>
      </c>
      <c r="G14" s="15" t="s">
        <v>379</v>
      </c>
      <c r="H14" s="15" t="s">
        <v>220</v>
      </c>
    </row>
    <row r="15" spans="1:8" ht="25.5">
      <c r="A15" s="11">
        <f>IF(OR(B15&lt;&gt;0, C15&lt;&gt;0, D15&lt;&gt;0, E15&lt;&gt;0, F15&lt;&gt;0, G15&lt;&gt;0, H15&lt;&gt;0), 12, "")</f>
        <v>12</v>
      </c>
      <c r="B15" s="52" t="s">
        <v>376</v>
      </c>
      <c r="C15" s="15" t="s">
        <v>380</v>
      </c>
      <c r="D15" s="52" t="s">
        <v>378</v>
      </c>
      <c r="E15" s="15" t="s">
        <v>381</v>
      </c>
      <c r="F15" s="15" t="s">
        <v>546</v>
      </c>
      <c r="G15" s="15" t="s">
        <v>335</v>
      </c>
      <c r="H15" s="15" t="s">
        <v>220</v>
      </c>
    </row>
    <row r="16" spans="1:8" ht="38.25">
      <c r="A16" s="11">
        <f>IF(OR(B16&lt;&gt;0, C16&lt;&gt;0, D16&lt;&gt;0, E16&lt;&gt;0, F16&lt;&gt;0, G16&lt;&gt;0, H16&lt;&gt;0), 13, "")</f>
        <v>13</v>
      </c>
      <c r="B16" s="52" t="s">
        <v>382</v>
      </c>
      <c r="C16" s="15" t="s">
        <v>383</v>
      </c>
      <c r="D16" s="52" t="s">
        <v>384</v>
      </c>
      <c r="E16" s="15" t="s">
        <v>65</v>
      </c>
      <c r="F16" s="15" t="s">
        <v>358</v>
      </c>
      <c r="G16" s="15" t="s">
        <v>303</v>
      </c>
      <c r="H16" s="15" t="s">
        <v>220</v>
      </c>
    </row>
    <row r="17" spans="1:8" ht="76.5">
      <c r="A17" s="11">
        <f>IF(OR(B17&lt;&gt;0, C17&lt;&gt;0, D17&lt;&gt;0, E17&lt;&gt;0, F17&lt;&gt;0, G17&lt;&gt;0, H17&lt;&gt;0), 14, "")</f>
        <v>14</v>
      </c>
      <c r="B17" s="52" t="s">
        <v>385</v>
      </c>
      <c r="C17" s="15" t="s">
        <v>386</v>
      </c>
      <c r="D17" s="52" t="s">
        <v>387</v>
      </c>
      <c r="E17" s="15" t="s">
        <v>367</v>
      </c>
      <c r="F17" s="15" t="s">
        <v>554</v>
      </c>
      <c r="G17" s="15" t="s">
        <v>306</v>
      </c>
      <c r="H17" s="15" t="s">
        <v>199</v>
      </c>
    </row>
    <row r="18" spans="1:8" ht="76.5">
      <c r="A18" s="11">
        <f>IF(OR(B18&lt;&gt;0, C18&lt;&gt;0, D18&lt;&gt;0, E18&lt;&gt;0, F18&lt;&gt;0, G18&lt;&gt;0, H18&lt;&gt;0), 15, "")</f>
        <v>15</v>
      </c>
      <c r="B18" s="52" t="s">
        <v>385</v>
      </c>
      <c r="C18" s="15" t="s">
        <v>386</v>
      </c>
      <c r="D18" s="52" t="s">
        <v>387</v>
      </c>
      <c r="E18" s="15" t="s">
        <v>367</v>
      </c>
      <c r="F18" s="15" t="s">
        <v>552</v>
      </c>
      <c r="G18" s="15" t="s">
        <v>335</v>
      </c>
      <c r="H18" s="15" t="s">
        <v>368</v>
      </c>
    </row>
    <row r="19" spans="1:8" ht="76.5">
      <c r="A19" s="11">
        <f>IF(OR(B19&lt;&gt;0, C19&lt;&gt;0, D19&lt;&gt;0, E19&lt;&gt;0, F19&lt;&gt;0, G19&lt;&gt;0, H19&lt;&gt;0), 16, "")</f>
        <v>16</v>
      </c>
      <c r="B19" s="52" t="s">
        <v>385</v>
      </c>
      <c r="C19" s="15" t="s">
        <v>386</v>
      </c>
      <c r="D19" s="52" t="s">
        <v>387</v>
      </c>
      <c r="E19" s="15" t="s">
        <v>367</v>
      </c>
      <c r="F19" s="15" t="s">
        <v>553</v>
      </c>
      <c r="G19" s="15" t="s">
        <v>335</v>
      </c>
      <c r="H19" s="15" t="s">
        <v>368</v>
      </c>
    </row>
    <row r="20" spans="1:8" ht="51">
      <c r="A20" s="11">
        <f>IF(OR(B20&lt;&gt;0, C20&lt;&gt;0, D20&lt;&gt;0, E20&lt;&gt;0, F20&lt;&gt;0, G20&lt;&gt;0, H20&lt;&gt;0), 17, "")</f>
        <v>17</v>
      </c>
      <c r="B20" s="52" t="s">
        <v>388</v>
      </c>
      <c r="C20" s="15" t="s">
        <v>389</v>
      </c>
      <c r="D20" s="52" t="s">
        <v>390</v>
      </c>
      <c r="E20" s="15" t="s">
        <v>317</v>
      </c>
      <c r="F20" s="15" t="s">
        <v>318</v>
      </c>
      <c r="G20" s="15" t="s">
        <v>306</v>
      </c>
      <c r="H20" s="15" t="s">
        <v>391</v>
      </c>
    </row>
    <row r="21" spans="1:8" ht="51">
      <c r="A21" s="11">
        <f>IF(OR(B21&lt;&gt;0, C21&lt;&gt;0, D21&lt;&gt;0, E21&lt;&gt;0, F21&lt;&gt;0, G21&lt;&gt;0, H21&lt;&gt;0), 18, "")</f>
        <v>18</v>
      </c>
      <c r="B21" s="52" t="s">
        <v>392</v>
      </c>
      <c r="C21" s="15" t="s">
        <v>393</v>
      </c>
      <c r="D21" s="52" t="s">
        <v>353</v>
      </c>
      <c r="E21" s="15" t="s">
        <v>67</v>
      </c>
      <c r="F21" s="15" t="s">
        <v>312</v>
      </c>
      <c r="G21" s="15" t="s">
        <v>306</v>
      </c>
      <c r="H21" s="15" t="s">
        <v>314</v>
      </c>
    </row>
    <row r="22" spans="1:8" ht="38.25">
      <c r="A22" s="11">
        <f>IF(OR(B22&lt;&gt;0, C22&lt;&gt;0, D22&lt;&gt;0, E22&lt;&gt;0, F22&lt;&gt;0, G22&lt;&gt;0, H22&lt;&gt;0), 19, "")</f>
        <v>19</v>
      </c>
      <c r="B22" s="52" t="s">
        <v>392</v>
      </c>
      <c r="C22" s="15" t="s">
        <v>393</v>
      </c>
      <c r="D22" s="52" t="s">
        <v>353</v>
      </c>
      <c r="E22" s="15" t="s">
        <v>65</v>
      </c>
      <c r="F22" s="15" t="s">
        <v>358</v>
      </c>
      <c r="G22" s="15" t="s">
        <v>313</v>
      </c>
      <c r="H22" s="15" t="s">
        <v>220</v>
      </c>
    </row>
    <row r="23" spans="1:8" ht="51">
      <c r="A23" s="11">
        <f>IF(OR(B23&lt;&gt;0, C23&lt;&gt;0, D23&lt;&gt;0, E23&lt;&gt;0, F23&lt;&gt;0, G23&lt;&gt;0, H23&lt;&gt;0), 20, "")</f>
        <v>20</v>
      </c>
      <c r="B23" s="52" t="s">
        <v>392</v>
      </c>
      <c r="C23" s="15" t="s">
        <v>393</v>
      </c>
      <c r="D23" s="52" t="s">
        <v>353</v>
      </c>
      <c r="E23" s="15" t="s">
        <v>67</v>
      </c>
      <c r="F23" s="15" t="s">
        <v>394</v>
      </c>
      <c r="G23" s="15" t="s">
        <v>303</v>
      </c>
      <c r="H23" s="15" t="s">
        <v>391</v>
      </c>
    </row>
    <row r="24" spans="1:8" ht="51">
      <c r="A24" s="11">
        <f>IF(OR(B24&lt;&gt;0, C24&lt;&gt;0, D24&lt;&gt;0, E24&lt;&gt;0, F24&lt;&gt;0, G24&lt;&gt;0, H24&lt;&gt;0), 21, "")</f>
        <v>21</v>
      </c>
      <c r="B24" s="52" t="s">
        <v>392</v>
      </c>
      <c r="C24" s="15" t="s">
        <v>393</v>
      </c>
      <c r="D24" s="52" t="s">
        <v>353</v>
      </c>
      <c r="E24" s="15" t="s">
        <v>67</v>
      </c>
      <c r="F24" s="15" t="s">
        <v>395</v>
      </c>
      <c r="G24" s="15" t="s">
        <v>306</v>
      </c>
      <c r="H24" s="15" t="s">
        <v>391</v>
      </c>
    </row>
    <row r="25" spans="1:8" ht="51">
      <c r="A25" s="11">
        <f>IF(OR(B25&lt;&gt;0, C25&lt;&gt;0, D25&lt;&gt;0, E25&lt;&gt;0, F25&lt;&gt;0, G25&lt;&gt;0, H25&lt;&gt;0), 22, "")</f>
        <v>22</v>
      </c>
      <c r="B25" s="52" t="s">
        <v>392</v>
      </c>
      <c r="C25" s="15" t="s">
        <v>393</v>
      </c>
      <c r="D25" s="52" t="s">
        <v>353</v>
      </c>
      <c r="E25" s="15" t="s">
        <v>67</v>
      </c>
      <c r="F25" s="15" t="s">
        <v>396</v>
      </c>
      <c r="G25" s="15" t="s">
        <v>335</v>
      </c>
      <c r="H25" s="15" t="s">
        <v>391</v>
      </c>
    </row>
    <row r="26" spans="1:8" ht="51">
      <c r="A26" s="11">
        <f>IF(OR(B26&lt;&gt;0, C26&lt;&gt;0, D26&lt;&gt;0, E26&lt;&gt;0, F26&lt;&gt;0, G26&lt;&gt;0, H26&lt;&gt;0), 23, "")</f>
        <v>23</v>
      </c>
      <c r="B26" s="52" t="s">
        <v>392</v>
      </c>
      <c r="C26" s="15" t="s">
        <v>393</v>
      </c>
      <c r="D26" s="52" t="s">
        <v>353</v>
      </c>
      <c r="E26" s="15" t="s">
        <v>397</v>
      </c>
      <c r="F26" s="15" t="s">
        <v>318</v>
      </c>
      <c r="G26" s="15" t="s">
        <v>335</v>
      </c>
      <c r="H26" s="15" t="s">
        <v>391</v>
      </c>
    </row>
    <row r="27" spans="1:8" ht="51">
      <c r="A27" s="11">
        <f>IF(OR(B27&lt;&gt;0, C27&lt;&gt;0, D27&lt;&gt;0, E27&lt;&gt;0, F27&lt;&gt;0, G27&lt;&gt;0, H27&lt;&gt;0), 24, "")</f>
        <v>24</v>
      </c>
      <c r="B27" s="52" t="s">
        <v>398</v>
      </c>
      <c r="C27" s="15" t="s">
        <v>399</v>
      </c>
      <c r="D27" s="52" t="s">
        <v>400</v>
      </c>
      <c r="E27" s="15" t="s">
        <v>401</v>
      </c>
      <c r="F27" s="15" t="s">
        <v>402</v>
      </c>
      <c r="G27" s="15" t="s">
        <v>335</v>
      </c>
      <c r="H27" s="15" t="s">
        <v>403</v>
      </c>
    </row>
    <row r="28" spans="1:8" ht="63.75">
      <c r="A28" s="11">
        <f>IF(OR(B28&lt;&gt;0, C28&lt;&gt;0, D28&lt;&gt;0, E28&lt;&gt;0, F28&lt;&gt;0, G28&lt;&gt;0, H28&lt;&gt;0), 25, "")</f>
        <v>25</v>
      </c>
      <c r="B28" s="52" t="s">
        <v>404</v>
      </c>
      <c r="C28" s="15" t="s">
        <v>405</v>
      </c>
      <c r="D28" s="52" t="s">
        <v>311</v>
      </c>
      <c r="E28" s="15" t="s">
        <v>371</v>
      </c>
      <c r="F28" s="15" t="s">
        <v>406</v>
      </c>
      <c r="G28" s="15" t="s">
        <v>335</v>
      </c>
      <c r="H28" s="15" t="s">
        <v>229</v>
      </c>
    </row>
    <row r="29" spans="1:8" ht="25.5">
      <c r="A29" s="11">
        <f>IF(OR(B29&lt;&gt;0, C29&lt;&gt;0, D29&lt;&gt;0, E29&lt;&gt;0, F29&lt;&gt;0, G29&lt;&gt;0, H29&lt;&gt;0), 26, "")</f>
        <v>26</v>
      </c>
      <c r="B29" s="52" t="s">
        <v>404</v>
      </c>
      <c r="C29" s="15" t="s">
        <v>405</v>
      </c>
      <c r="D29" s="52" t="s">
        <v>311</v>
      </c>
      <c r="E29" s="15" t="s">
        <v>172</v>
      </c>
      <c r="F29" s="15" t="s">
        <v>551</v>
      </c>
      <c r="G29" s="15" t="s">
        <v>335</v>
      </c>
      <c r="H29" s="15" t="s">
        <v>229</v>
      </c>
    </row>
    <row r="30" spans="1:8" ht="51">
      <c r="A30" s="11">
        <f>IF(OR(B30&lt;&gt;0, C30&lt;&gt;0, D30&lt;&gt;0, E30&lt;&gt;0, F30&lt;&gt;0, G30&lt;&gt;0, H30&lt;&gt;0), 27, "")</f>
        <v>27</v>
      </c>
      <c r="B30" s="52" t="s">
        <v>407</v>
      </c>
      <c r="C30" s="15" t="s">
        <v>408</v>
      </c>
      <c r="D30" s="52" t="s">
        <v>311</v>
      </c>
      <c r="E30" s="15" t="s">
        <v>401</v>
      </c>
      <c r="F30" s="15" t="s">
        <v>402</v>
      </c>
      <c r="G30" s="15" t="s">
        <v>306</v>
      </c>
      <c r="H30" s="15" t="s">
        <v>403</v>
      </c>
    </row>
    <row r="31" spans="1:8" ht="51">
      <c r="A31" s="11">
        <f>IF(OR(B31&lt;&gt;0, C31&lt;&gt;0, D31&lt;&gt;0, E31&lt;&gt;0, F31&lt;&gt;0, G31&lt;&gt;0, H31&lt;&gt;0), 28, "")</f>
        <v>28</v>
      </c>
      <c r="B31" s="52" t="s">
        <v>409</v>
      </c>
      <c r="C31" s="15" t="s">
        <v>410</v>
      </c>
      <c r="D31" s="52" t="s">
        <v>411</v>
      </c>
      <c r="E31" s="15" t="s">
        <v>67</v>
      </c>
      <c r="F31" s="15" t="s">
        <v>312</v>
      </c>
      <c r="G31" s="15" t="s">
        <v>306</v>
      </c>
      <c r="H31" s="15" t="s">
        <v>314</v>
      </c>
    </row>
    <row r="32" spans="1:8" ht="51">
      <c r="A32" s="11">
        <f>IF(OR(B32&lt;&gt;0, C32&lt;&gt;0, D32&lt;&gt;0, E32&lt;&gt;0, F32&lt;&gt;0, G32&lt;&gt;0, H32&lt;&gt;0), 29, "")</f>
        <v>29</v>
      </c>
      <c r="B32" s="52" t="s">
        <v>412</v>
      </c>
      <c r="C32" s="15" t="s">
        <v>413</v>
      </c>
      <c r="D32" s="52" t="s">
        <v>414</v>
      </c>
      <c r="E32" s="15" t="s">
        <v>65</v>
      </c>
      <c r="F32" s="15" t="s">
        <v>358</v>
      </c>
      <c r="G32" s="15" t="s">
        <v>313</v>
      </c>
      <c r="H32" s="15" t="s">
        <v>220</v>
      </c>
    </row>
    <row r="33" spans="1:8" ht="51">
      <c r="A33" s="11">
        <f>IF(OR(B33&lt;&gt;0, C33&lt;&gt;0, D33&lt;&gt;0, E33&lt;&gt;0, F33&lt;&gt;0, G33&lt;&gt;0, H33&lt;&gt;0), 30, "")</f>
        <v>30</v>
      </c>
      <c r="B33" s="52" t="s">
        <v>412</v>
      </c>
      <c r="C33" s="15" t="s">
        <v>413</v>
      </c>
      <c r="D33" s="52" t="s">
        <v>414</v>
      </c>
      <c r="E33" s="15" t="s">
        <v>65</v>
      </c>
      <c r="F33" s="15" t="s">
        <v>316</v>
      </c>
      <c r="G33" s="15" t="s">
        <v>306</v>
      </c>
      <c r="H33" s="15" t="s">
        <v>220</v>
      </c>
    </row>
    <row r="34" spans="1:8" ht="51">
      <c r="A34" s="11">
        <f>IF(OR(B34&lt;&gt;0, C34&lt;&gt;0, D34&lt;&gt;0, E34&lt;&gt;0, F34&lt;&gt;0, G34&lt;&gt;0, H34&lt;&gt;0), 31, "")</f>
        <v>31</v>
      </c>
      <c r="B34" s="52" t="s">
        <v>412</v>
      </c>
      <c r="C34" s="15" t="s">
        <v>413</v>
      </c>
      <c r="D34" s="52" t="s">
        <v>414</v>
      </c>
      <c r="E34" s="15" t="s">
        <v>67</v>
      </c>
      <c r="F34" s="15" t="s">
        <v>394</v>
      </c>
      <c r="G34" s="15" t="s">
        <v>306</v>
      </c>
      <c r="H34" s="15" t="s">
        <v>391</v>
      </c>
    </row>
    <row r="35" spans="1:8" ht="51">
      <c r="A35" s="11">
        <f>IF(OR(B35&lt;&gt;0, C35&lt;&gt;0, D35&lt;&gt;0, E35&lt;&gt;0, F35&lt;&gt;0, G35&lt;&gt;0, H35&lt;&gt;0), 32, "")</f>
        <v>32</v>
      </c>
      <c r="B35" s="52" t="s">
        <v>412</v>
      </c>
      <c r="C35" s="15" t="s">
        <v>413</v>
      </c>
      <c r="D35" s="52" t="s">
        <v>414</v>
      </c>
      <c r="E35" s="15" t="s">
        <v>67</v>
      </c>
      <c r="F35" s="15" t="s">
        <v>395</v>
      </c>
      <c r="G35" s="15" t="s">
        <v>303</v>
      </c>
      <c r="H35" s="15" t="s">
        <v>391</v>
      </c>
    </row>
    <row r="36" spans="1:8" ht="51">
      <c r="A36" s="11">
        <f>IF(OR(B36&lt;&gt;0, C36&lt;&gt;0, D36&lt;&gt;0, E36&lt;&gt;0, F36&lt;&gt;0, G36&lt;&gt;0, H36&lt;&gt;0), 33, "")</f>
        <v>33</v>
      </c>
      <c r="B36" s="52" t="s">
        <v>412</v>
      </c>
      <c r="C36" s="15" t="s">
        <v>413</v>
      </c>
      <c r="D36" s="52" t="s">
        <v>414</v>
      </c>
      <c r="E36" s="15" t="s">
        <v>67</v>
      </c>
      <c r="F36" s="15" t="s">
        <v>396</v>
      </c>
      <c r="G36" s="15" t="s">
        <v>306</v>
      </c>
      <c r="H36" s="15" t="s">
        <v>391</v>
      </c>
    </row>
    <row r="37" spans="1:8" ht="51">
      <c r="A37" s="11">
        <f>IF(OR(B37&lt;&gt;0, C37&lt;&gt;0, D37&lt;&gt;0, E37&lt;&gt;0, F37&lt;&gt;0, G37&lt;&gt;0, H37&lt;&gt;0), 34, "")</f>
        <v>34</v>
      </c>
      <c r="B37" s="52" t="s">
        <v>412</v>
      </c>
      <c r="C37" s="15" t="s">
        <v>413</v>
      </c>
      <c r="D37" s="52" t="s">
        <v>414</v>
      </c>
      <c r="E37" s="15" t="s">
        <v>371</v>
      </c>
      <c r="F37" s="15" t="s">
        <v>318</v>
      </c>
      <c r="G37" s="15" t="s">
        <v>306</v>
      </c>
      <c r="H37" s="15" t="s">
        <v>391</v>
      </c>
    </row>
    <row r="38" spans="1:8" ht="51">
      <c r="A38" s="11">
        <f>IF(OR(B38&lt;&gt;0, C38&lt;&gt;0, D38&lt;&gt;0, E38&lt;&gt;0, F38&lt;&gt;0, G38&lt;&gt;0, H38&lt;&gt;0), 35, "")</f>
        <v>35</v>
      </c>
      <c r="B38" s="52" t="s">
        <v>415</v>
      </c>
      <c r="C38" s="15" t="s">
        <v>416</v>
      </c>
      <c r="D38" s="52" t="s">
        <v>417</v>
      </c>
      <c r="E38" s="15" t="s">
        <v>401</v>
      </c>
      <c r="F38" s="15" t="s">
        <v>402</v>
      </c>
      <c r="G38" s="15" t="s">
        <v>306</v>
      </c>
      <c r="H38" s="15" t="s">
        <v>418</v>
      </c>
    </row>
    <row r="39" spans="1:8" ht="76.5">
      <c r="A39" s="11">
        <f>IF(OR(B39&lt;&gt;0, C39&lt;&gt;0, D39&lt;&gt;0, E39&lt;&gt;0, F39&lt;&gt;0, G39&lt;&gt;0, H39&lt;&gt;0), 36, "")</f>
        <v>36</v>
      </c>
      <c r="B39" s="52" t="s">
        <v>419</v>
      </c>
      <c r="C39" s="15" t="s">
        <v>420</v>
      </c>
      <c r="D39" s="52" t="s">
        <v>400</v>
      </c>
      <c r="E39" s="15" t="s">
        <v>67</v>
      </c>
      <c r="F39" s="15" t="s">
        <v>312</v>
      </c>
      <c r="G39" s="15" t="s">
        <v>379</v>
      </c>
      <c r="H39" s="15" t="s">
        <v>314</v>
      </c>
    </row>
    <row r="40" spans="1:8" ht="76.5">
      <c r="A40" s="11">
        <f>IF(OR(B40&lt;&gt;0, C40&lt;&gt;0, D40&lt;&gt;0, E40&lt;&gt;0, F40&lt;&gt;0, G40&lt;&gt;0, H40&lt;&gt;0), 37, "")</f>
        <v>37</v>
      </c>
      <c r="B40" s="52" t="s">
        <v>419</v>
      </c>
      <c r="C40" s="15" t="s">
        <v>420</v>
      </c>
      <c r="D40" s="52" t="s">
        <v>400</v>
      </c>
      <c r="E40" s="15" t="s">
        <v>67</v>
      </c>
      <c r="F40" s="15" t="s">
        <v>394</v>
      </c>
      <c r="G40" s="15" t="s">
        <v>303</v>
      </c>
      <c r="H40" s="15" t="s">
        <v>421</v>
      </c>
    </row>
    <row r="41" spans="1:8" ht="76.5">
      <c r="A41" s="11">
        <f>IF(OR(B41&lt;&gt;0, C41&lt;&gt;0, D41&lt;&gt;0, E41&lt;&gt;0, F41&lt;&gt;0, G41&lt;&gt;0, H41&lt;&gt;0), 38, "")</f>
        <v>38</v>
      </c>
      <c r="B41" s="52" t="s">
        <v>419</v>
      </c>
      <c r="C41" s="15" t="s">
        <v>420</v>
      </c>
      <c r="D41" s="52" t="s">
        <v>400</v>
      </c>
      <c r="E41" s="15" t="s">
        <v>67</v>
      </c>
      <c r="F41" s="15" t="s">
        <v>422</v>
      </c>
      <c r="G41" s="15" t="s">
        <v>303</v>
      </c>
      <c r="H41" s="15" t="s">
        <v>421</v>
      </c>
    </row>
    <row r="42" spans="1:8" ht="51">
      <c r="A42" s="11">
        <f>IF(OR(B42&lt;&gt;0, C42&lt;&gt;0, D42&lt;&gt;0, E42&lt;&gt;0, F42&lt;&gt;0, G42&lt;&gt;0, H42&lt;&gt;0), 39, "")</f>
        <v>39</v>
      </c>
      <c r="B42" s="52" t="s">
        <v>423</v>
      </c>
      <c r="C42" s="13">
        <v>44274</v>
      </c>
      <c r="D42" s="52" t="s">
        <v>424</v>
      </c>
      <c r="E42" s="15" t="s">
        <v>172</v>
      </c>
      <c r="F42" s="15" t="s">
        <v>425</v>
      </c>
      <c r="G42" s="15" t="s">
        <v>303</v>
      </c>
      <c r="H42" s="15" t="s">
        <v>215</v>
      </c>
    </row>
    <row r="43" spans="1:8" ht="51">
      <c r="A43" s="11">
        <f>IF(OR(B43&lt;&gt;0, C43&lt;&gt;0, D43&lt;&gt;0, E43&lt;&gt;0, F43&lt;&gt;0, G43&lt;&gt;0, H43&lt;&gt;0), 40, "")</f>
        <v>40</v>
      </c>
      <c r="B43" s="52" t="s">
        <v>426</v>
      </c>
      <c r="C43" s="15" t="s">
        <v>427</v>
      </c>
      <c r="D43" s="52" t="s">
        <v>428</v>
      </c>
      <c r="E43" s="15" t="s">
        <v>67</v>
      </c>
      <c r="F43" s="15" t="s">
        <v>312</v>
      </c>
      <c r="G43" s="15" t="s">
        <v>379</v>
      </c>
      <c r="H43" s="15" t="s">
        <v>314</v>
      </c>
    </row>
    <row r="44" spans="1:8" ht="38.25">
      <c r="A44" s="11">
        <f>IF(OR(B44&lt;&gt;0, C44&lt;&gt;0, D44&lt;&gt;0, E44&lt;&gt;0, F44&lt;&gt;0, G44&lt;&gt;0, H44&lt;&gt;0), 41, "")</f>
        <v>41</v>
      </c>
      <c r="B44" s="52" t="s">
        <v>429</v>
      </c>
      <c r="C44" s="97">
        <v>44287</v>
      </c>
      <c r="D44" s="52" t="s">
        <v>361</v>
      </c>
      <c r="E44" s="15" t="s">
        <v>65</v>
      </c>
      <c r="F44" s="15" t="s">
        <v>316</v>
      </c>
      <c r="G44" s="15" t="s">
        <v>306</v>
      </c>
      <c r="H44" s="15" t="s">
        <v>220</v>
      </c>
    </row>
    <row r="45" spans="1:8" ht="51">
      <c r="A45" s="11">
        <f>IF(OR(B45&lt;&gt;0, C45&lt;&gt;0, D45&lt;&gt;0, E45&lt;&gt;0, F45&lt;&gt;0, G45&lt;&gt;0, H45&lt;&gt;0), 42, "")</f>
        <v>42</v>
      </c>
      <c r="B45" s="52" t="s">
        <v>430</v>
      </c>
      <c r="C45" s="13">
        <v>44287</v>
      </c>
      <c r="D45" s="52" t="s">
        <v>357</v>
      </c>
      <c r="E45" s="15" t="s">
        <v>67</v>
      </c>
      <c r="F45" s="15" t="s">
        <v>394</v>
      </c>
      <c r="G45" s="15" t="s">
        <v>306</v>
      </c>
      <c r="H45" s="15" t="s">
        <v>421</v>
      </c>
    </row>
    <row r="46" spans="1:8" ht="102">
      <c r="A46" s="11">
        <f>IF(OR(B46&lt;&gt;0, C46&lt;&gt;0, D46&lt;&gt;0, E46&lt;&gt;0, F46&lt;&gt;0, G46&lt;&gt;0, H46&lt;&gt;0), 43, "")</f>
        <v>43</v>
      </c>
      <c r="B46" s="52" t="s">
        <v>431</v>
      </c>
      <c r="C46" s="15" t="s">
        <v>432</v>
      </c>
      <c r="D46" s="52" t="s">
        <v>373</v>
      </c>
      <c r="E46" s="15" t="s">
        <v>433</v>
      </c>
      <c r="F46" s="15" t="s">
        <v>550</v>
      </c>
      <c r="G46" s="15" t="s">
        <v>335</v>
      </c>
      <c r="H46" s="15" t="s">
        <v>215</v>
      </c>
    </row>
    <row r="47" spans="1:8" ht="102">
      <c r="A47" s="11">
        <f>IF(OR(B47&lt;&gt;0, C47&lt;&gt;0, D47&lt;&gt;0, E47&lt;&gt;0, F47&lt;&gt;0, G47&lt;&gt;0, H47&lt;&gt;0), 44, "")</f>
        <v>44</v>
      </c>
      <c r="B47" s="52" t="s">
        <v>434</v>
      </c>
      <c r="C47" s="15" t="s">
        <v>435</v>
      </c>
      <c r="D47" s="52" t="s">
        <v>311</v>
      </c>
      <c r="E47" s="15" t="s">
        <v>433</v>
      </c>
      <c r="F47" s="15" t="s">
        <v>549</v>
      </c>
      <c r="G47" s="15" t="s">
        <v>335</v>
      </c>
      <c r="H47" s="15" t="s">
        <v>215</v>
      </c>
    </row>
    <row r="48" spans="1:8" ht="38.25">
      <c r="A48" s="11">
        <f>IF(OR(B48&lt;&gt;0, C48&lt;&gt;0, D48&lt;&gt;0, E48&lt;&gt;0, F48&lt;&gt;0, G48&lt;&gt;0, H48&lt;&gt;0), 45, "")</f>
        <v>45</v>
      </c>
      <c r="B48" s="52" t="s">
        <v>436</v>
      </c>
      <c r="C48" s="15" t="s">
        <v>437</v>
      </c>
      <c r="D48" s="52" t="s">
        <v>438</v>
      </c>
      <c r="E48" s="15" t="s">
        <v>172</v>
      </c>
      <c r="F48" s="15" t="s">
        <v>548</v>
      </c>
      <c r="G48" s="15" t="s">
        <v>335</v>
      </c>
      <c r="H48" s="15" t="s">
        <v>231</v>
      </c>
    </row>
    <row r="49" spans="1:8" ht="51">
      <c r="A49" s="11">
        <f>IF(OR(B49&lt;&gt;0, C49&lt;&gt;0, D49&lt;&gt;0, E49&lt;&gt;0, F49&lt;&gt;0, G49&lt;&gt;0, H49&lt;&gt;0), 46, "")</f>
        <v>46</v>
      </c>
      <c r="B49" s="52" t="s">
        <v>439</v>
      </c>
      <c r="C49" s="13">
        <v>44327</v>
      </c>
      <c r="D49" s="52" t="s">
        <v>440</v>
      </c>
      <c r="E49" s="15" t="s">
        <v>172</v>
      </c>
      <c r="F49" s="15" t="s">
        <v>547</v>
      </c>
      <c r="G49" s="15" t="s">
        <v>303</v>
      </c>
      <c r="H49" s="15" t="s">
        <v>222</v>
      </c>
    </row>
    <row r="50" spans="1:8" ht="51">
      <c r="A50" s="11">
        <f>IF(OR(B50&lt;&gt;0, C50&lt;&gt;0, D50&lt;&gt;0, E50&lt;&gt;0, F50&lt;&gt;0, G50&lt;&gt;0, H50&lt;&gt;0), 47, "")</f>
        <v>47</v>
      </c>
      <c r="B50" s="52" t="s">
        <v>441</v>
      </c>
      <c r="C50" s="15" t="s">
        <v>442</v>
      </c>
      <c r="D50" s="52" t="s">
        <v>443</v>
      </c>
      <c r="E50" s="15" t="s">
        <v>67</v>
      </c>
      <c r="F50" s="15" t="s">
        <v>312</v>
      </c>
      <c r="G50" s="15" t="s">
        <v>303</v>
      </c>
      <c r="H50" s="15" t="s">
        <v>314</v>
      </c>
    </row>
    <row r="51" spans="1:8" ht="51">
      <c r="A51" s="11">
        <f>IF(OR(B51&lt;&gt;0, C51&lt;&gt;0, D51&lt;&gt;0, E51&lt;&gt;0, F51&lt;&gt;0, G51&lt;&gt;0, H51&lt;&gt;0), 48, "")</f>
        <v>48</v>
      </c>
      <c r="B51" s="52" t="s">
        <v>444</v>
      </c>
      <c r="C51" s="15" t="s">
        <v>445</v>
      </c>
      <c r="D51" s="52" t="s">
        <v>390</v>
      </c>
      <c r="E51" s="15" t="s">
        <v>67</v>
      </c>
      <c r="F51" s="15" t="s">
        <v>312</v>
      </c>
      <c r="G51" s="15" t="s">
        <v>335</v>
      </c>
      <c r="H51" s="15" t="s">
        <v>314</v>
      </c>
    </row>
    <row r="52" spans="1:8" ht="38.25">
      <c r="A52" s="11">
        <f>IF(OR(B52&lt;&gt;0, C52&lt;&gt;0, D52&lt;&gt;0, E52&lt;&gt;0, F52&lt;&gt;0, G52&lt;&gt;0, H52&lt;&gt;0), 49, "")</f>
        <v>49</v>
      </c>
      <c r="B52" s="52" t="s">
        <v>388</v>
      </c>
      <c r="C52" s="15" t="s">
        <v>446</v>
      </c>
      <c r="D52" s="52" t="s">
        <v>390</v>
      </c>
      <c r="E52" s="15" t="s">
        <v>65</v>
      </c>
      <c r="F52" s="15" t="s">
        <v>358</v>
      </c>
      <c r="G52" s="15" t="s">
        <v>313</v>
      </c>
      <c r="H52" s="15" t="s">
        <v>220</v>
      </c>
    </row>
    <row r="53" spans="1:8" ht="38.25">
      <c r="A53" s="11">
        <f>IF(OR(B53&lt;&gt;0, C53&lt;&gt;0, D53&lt;&gt;0, E53&lt;&gt;0, F53&lt;&gt;0, G53&lt;&gt;0, H53&lt;&gt;0), 50, "")</f>
        <v>50</v>
      </c>
      <c r="B53" s="52" t="s">
        <v>388</v>
      </c>
      <c r="C53" s="15" t="s">
        <v>446</v>
      </c>
      <c r="D53" s="52" t="s">
        <v>390</v>
      </c>
      <c r="E53" s="15" t="s">
        <v>65</v>
      </c>
      <c r="F53" s="15" t="s">
        <v>546</v>
      </c>
      <c r="G53" s="15" t="s">
        <v>303</v>
      </c>
      <c r="H53" s="15" t="s">
        <v>220</v>
      </c>
    </row>
    <row r="54" spans="1:8">
      <c r="A54" s="11" t="str">
        <f>IF(OR(B54&lt;&gt;0, C54&lt;&gt;0, D54&lt;&gt;0, E54&lt;&gt;0, F54&lt;&gt;0, G54&lt;&gt;0, H54&lt;&gt;0), 51, "")</f>
        <v/>
      </c>
      <c r="B54" s="52"/>
      <c r="C54" s="15"/>
      <c r="D54" s="52"/>
      <c r="E54" s="15"/>
      <c r="F54" s="15"/>
      <c r="G54" s="15"/>
      <c r="H54" s="15"/>
    </row>
    <row r="55" spans="1:8">
      <c r="A55" s="11" t="str">
        <f>IF(OR(B55&lt;&gt;0, C55&lt;&gt;0, D55&lt;&gt;0, E55&lt;&gt;0, F55&lt;&gt;0, G55&lt;&gt;0, H55&lt;&gt;0), 52, "")</f>
        <v/>
      </c>
      <c r="B55" s="52"/>
      <c r="C55" s="15"/>
      <c r="D55" s="52"/>
      <c r="E55" s="15"/>
      <c r="F55" s="15"/>
      <c r="G55" s="15"/>
      <c r="H55" s="15"/>
    </row>
    <row r="56" spans="1:8">
      <c r="A56" s="11" t="str">
        <f>IF(OR(B56&lt;&gt;0, C56&lt;&gt;0, D56&lt;&gt;0, E56&lt;&gt;0, F56&lt;&gt;0, G56&lt;&gt;0, H56&lt;&gt;0), 53, "")</f>
        <v/>
      </c>
      <c r="B56" s="52"/>
      <c r="C56" s="15"/>
      <c r="D56" s="52"/>
      <c r="E56" s="15"/>
      <c r="F56" s="15"/>
      <c r="G56" s="15"/>
      <c r="H56" s="15"/>
    </row>
    <row r="57" spans="1:8">
      <c r="A57" s="11" t="str">
        <f>IF(OR(B57&lt;&gt;0, C57&lt;&gt;0, D57&lt;&gt;0, E57&lt;&gt;0, F57&lt;&gt;0, G57&lt;&gt;0, H57&lt;&gt;0), 54, "")</f>
        <v/>
      </c>
      <c r="B57" s="52"/>
      <c r="C57" s="15"/>
      <c r="D57" s="52"/>
      <c r="E57" s="15"/>
      <c r="F57" s="15"/>
      <c r="G57" s="15"/>
      <c r="H57" s="15"/>
    </row>
    <row r="58" spans="1:8">
      <c r="A58" s="11" t="str">
        <f>IF(OR(B58&lt;&gt;0, C58&lt;&gt;0, D58&lt;&gt;0, E58&lt;&gt;0, F58&lt;&gt;0, G58&lt;&gt;0, H58&lt;&gt;0), 55, "")</f>
        <v/>
      </c>
      <c r="B58" s="52"/>
      <c r="C58" s="15"/>
      <c r="D58" s="52"/>
      <c r="E58" s="15"/>
      <c r="F58" s="15"/>
      <c r="G58" s="15"/>
      <c r="H58" s="15"/>
    </row>
    <row r="59" spans="1:8">
      <c r="A59" s="11" t="str">
        <f>IF(OR(B59&lt;&gt;0, C59&lt;&gt;0, D59&lt;&gt;0, E59&lt;&gt;0, F59&lt;&gt;0, G59&lt;&gt;0, H59&lt;&gt;0), 56, "")</f>
        <v/>
      </c>
      <c r="B59" s="52"/>
      <c r="C59" s="15"/>
      <c r="D59" s="52"/>
      <c r="E59" s="15"/>
      <c r="F59" s="15"/>
      <c r="G59" s="15"/>
      <c r="H59" s="15"/>
    </row>
    <row r="60" spans="1:8">
      <c r="A60" s="11" t="str">
        <f>IF(OR(B60&lt;&gt;0, C60&lt;&gt;0, D60&lt;&gt;0, E60&lt;&gt;0, F60&lt;&gt;0, G60&lt;&gt;0, H60&lt;&gt;0), 57, "")</f>
        <v/>
      </c>
      <c r="B60" s="52"/>
      <c r="C60" s="15"/>
      <c r="D60" s="52"/>
      <c r="E60" s="15"/>
      <c r="F60" s="15"/>
      <c r="G60" s="15"/>
      <c r="H60" s="15"/>
    </row>
    <row r="61" spans="1:8">
      <c r="A61" s="11" t="str">
        <f>IF(OR(B61&lt;&gt;0, C61&lt;&gt;0, D61&lt;&gt;0, E61&lt;&gt;0, F61&lt;&gt;0, G61&lt;&gt;0, H61&lt;&gt;0), 58, "")</f>
        <v/>
      </c>
      <c r="B61" s="52"/>
      <c r="C61" s="15"/>
      <c r="D61" s="52"/>
      <c r="E61" s="15"/>
      <c r="F61" s="15"/>
      <c r="G61" s="15"/>
      <c r="H61" s="15"/>
    </row>
    <row r="62" spans="1:8">
      <c r="A62" s="11" t="str">
        <f>IF(OR(B62&lt;&gt;0, C62&lt;&gt;0, D62&lt;&gt;0, E62&lt;&gt;0, F62&lt;&gt;0, G62&lt;&gt;0, H62&lt;&gt;0), 59, "")</f>
        <v/>
      </c>
      <c r="B62" s="52"/>
      <c r="C62" s="15"/>
      <c r="D62" s="52"/>
      <c r="E62" s="15"/>
      <c r="F62" s="15"/>
      <c r="G62" s="15"/>
      <c r="H62" s="15"/>
    </row>
    <row r="63" spans="1:8">
      <c r="A63" s="11" t="str">
        <f>IF(OR(B63&lt;&gt;0, C63&lt;&gt;0, D63&lt;&gt;0, E63&lt;&gt;0, F63&lt;&gt;0, G63&lt;&gt;0, H63&lt;&gt;0), 60, "")</f>
        <v/>
      </c>
      <c r="B63" s="52"/>
      <c r="C63" s="15"/>
      <c r="D63" s="52"/>
      <c r="E63" s="15"/>
      <c r="F63" s="15"/>
      <c r="G63" s="15"/>
      <c r="H63" s="15"/>
    </row>
    <row r="64" spans="1:8">
      <c r="A64" s="11" t="str">
        <f>IF(OR(B64&lt;&gt;0, C64&lt;&gt;0, D64&lt;&gt;0, E64&lt;&gt;0, F64&lt;&gt;0, G64&lt;&gt;0, H64&lt;&gt;0), 61, "")</f>
        <v/>
      </c>
      <c r="B64" s="52"/>
      <c r="C64" s="15"/>
      <c r="D64" s="52"/>
      <c r="E64" s="15"/>
      <c r="F64" s="15"/>
      <c r="G64" s="15"/>
      <c r="H64" s="15"/>
    </row>
    <row r="65" spans="1:8">
      <c r="A65" s="11" t="str">
        <f>IF(OR(B65&lt;&gt;0, C65&lt;&gt;0, D65&lt;&gt;0, E65&lt;&gt;0, F65&lt;&gt;0, G65&lt;&gt;0, H65&lt;&gt;0), 62, "")</f>
        <v/>
      </c>
      <c r="B65" s="52"/>
      <c r="C65" s="15"/>
      <c r="D65" s="52"/>
      <c r="E65" s="15"/>
      <c r="F65" s="15"/>
      <c r="G65" s="15"/>
      <c r="H65" s="15"/>
    </row>
    <row r="66" spans="1:8">
      <c r="A66" s="11" t="str">
        <f>IF(OR(B66&lt;&gt;0, C66&lt;&gt;0, D66&lt;&gt;0, E66&lt;&gt;0, F66&lt;&gt;0, G66&lt;&gt;0, H66&lt;&gt;0), 63, "")</f>
        <v/>
      </c>
      <c r="B66" s="52"/>
      <c r="C66" s="15"/>
      <c r="D66" s="52"/>
      <c r="E66" s="15"/>
      <c r="F66" s="15"/>
      <c r="G66" s="15"/>
      <c r="H66" s="15"/>
    </row>
    <row r="67" spans="1:8">
      <c r="A67" s="11" t="str">
        <f>IF(OR(B67&lt;&gt;0, C67&lt;&gt;0, D67&lt;&gt;0, E67&lt;&gt;0, F67&lt;&gt;0, G67&lt;&gt;0, H67&lt;&gt;0), 64, "")</f>
        <v/>
      </c>
      <c r="B67" s="52"/>
      <c r="C67" s="15"/>
      <c r="D67" s="52"/>
      <c r="E67" s="15"/>
      <c r="F67" s="15"/>
      <c r="G67" s="15"/>
      <c r="H67" s="15"/>
    </row>
    <row r="68" spans="1:8">
      <c r="A68" s="11" t="str">
        <f>IF(OR(B68&lt;&gt;0, C68&lt;&gt;0, D68&lt;&gt;0, E68&lt;&gt;0, F68&lt;&gt;0, G68&lt;&gt;0, H68&lt;&gt;0), 65, "")</f>
        <v/>
      </c>
      <c r="B68" s="52"/>
      <c r="C68" s="15"/>
      <c r="D68" s="52"/>
      <c r="E68" s="15"/>
      <c r="F68" s="15"/>
      <c r="G68" s="15"/>
      <c r="H68" s="15"/>
    </row>
    <row r="69" spans="1:8">
      <c r="A69" s="11" t="str">
        <f>IF(OR(B69&lt;&gt;0, C69&lt;&gt;0, D69&lt;&gt;0, E69&lt;&gt;0, F69&lt;&gt;0, G69&lt;&gt;0, H69&lt;&gt;0), 66, "")</f>
        <v/>
      </c>
      <c r="B69" s="52"/>
      <c r="C69" s="15"/>
      <c r="D69" s="52"/>
      <c r="E69" s="15"/>
      <c r="F69" s="15"/>
      <c r="G69" s="15"/>
      <c r="H69" s="15"/>
    </row>
    <row r="70" spans="1:8">
      <c r="A70" s="11" t="str">
        <f>IF(OR(B70&lt;&gt;0, C70&lt;&gt;0, D70&lt;&gt;0, E70&lt;&gt;0, F70&lt;&gt;0, G70&lt;&gt;0, H70&lt;&gt;0), 67, "")</f>
        <v/>
      </c>
      <c r="B70" s="52"/>
      <c r="C70" s="15"/>
      <c r="D70" s="52"/>
      <c r="E70" s="15"/>
      <c r="F70" s="15"/>
      <c r="G70" s="15"/>
      <c r="H70" s="15"/>
    </row>
    <row r="71" spans="1:8">
      <c r="A71" s="11" t="str">
        <f>IF(OR(B71&lt;&gt;0, C71&lt;&gt;0, D71&lt;&gt;0, E71&lt;&gt;0, F71&lt;&gt;0, G71&lt;&gt;0, H71&lt;&gt;0), 68, "")</f>
        <v/>
      </c>
      <c r="B71" s="52"/>
      <c r="C71" s="15"/>
      <c r="D71" s="52"/>
      <c r="E71" s="15"/>
      <c r="F71" s="15"/>
      <c r="G71" s="15"/>
      <c r="H71" s="15"/>
    </row>
    <row r="72" spans="1:8">
      <c r="A72" s="11" t="str">
        <f>IF(OR(B72&lt;&gt;0, C72&lt;&gt;0, D72&lt;&gt;0, E72&lt;&gt;0, F72&lt;&gt;0, G72&lt;&gt;0, H72&lt;&gt;0), 69, "")</f>
        <v/>
      </c>
      <c r="B72" s="52"/>
      <c r="C72" s="15"/>
      <c r="D72" s="52"/>
      <c r="E72" s="15"/>
      <c r="F72" s="15"/>
      <c r="G72" s="15"/>
      <c r="H72" s="15"/>
    </row>
    <row r="73" spans="1:8">
      <c r="A73" s="11" t="str">
        <f>IF(OR(B73&lt;&gt;0, C73&lt;&gt;0, D73&lt;&gt;0, E73&lt;&gt;0, F73&lt;&gt;0, G73&lt;&gt;0, H73&lt;&gt;0), 70, "")</f>
        <v/>
      </c>
      <c r="B73" s="52"/>
      <c r="C73" s="15"/>
      <c r="D73" s="52"/>
      <c r="E73" s="15"/>
      <c r="F73" s="15"/>
      <c r="G73" s="15"/>
      <c r="H73" s="15"/>
    </row>
    <row r="74" spans="1:8">
      <c r="A74" s="11" t="str">
        <f>IF(OR(B74&lt;&gt;0, C74&lt;&gt;0, D74&lt;&gt;0, E74&lt;&gt;0, F74&lt;&gt;0, G74&lt;&gt;0, H74&lt;&gt;0), 71, "")</f>
        <v/>
      </c>
      <c r="B74" s="52"/>
      <c r="C74" s="15"/>
      <c r="D74" s="52"/>
      <c r="E74" s="15"/>
      <c r="F74" s="15"/>
      <c r="G74" s="15"/>
      <c r="H74" s="15"/>
    </row>
    <row r="75" spans="1:8">
      <c r="A75" s="11" t="str">
        <f>IF(OR(B75&lt;&gt;0, C75&lt;&gt;0, D75&lt;&gt;0, E75&lt;&gt;0, F75&lt;&gt;0, G75&lt;&gt;0, H75&lt;&gt;0), 72, "")</f>
        <v/>
      </c>
      <c r="B75" s="52"/>
      <c r="C75" s="15"/>
      <c r="D75" s="52"/>
      <c r="E75" s="15"/>
      <c r="F75" s="15"/>
      <c r="G75" s="15"/>
      <c r="H75" s="15"/>
    </row>
  </sheetData>
  <sheetProtection selectLockedCells="1"/>
  <mergeCells count="1">
    <mergeCell ref="A1:H1"/>
  </mergeCells>
  <conditionalFormatting sqref="B4:F75 H4:H75">
    <cfRule type="cellIs" dxfId="9" priority="3" operator="greaterThan">
      <formula>0</formula>
    </cfRule>
  </conditionalFormatting>
  <conditionalFormatting sqref="A4:A75">
    <cfRule type="cellIs" dxfId="8" priority="2" operator="between">
      <formula>0</formula>
      <formula>72</formula>
    </cfRule>
  </conditionalFormatting>
  <conditionalFormatting sqref="G4:G75">
    <cfRule type="cellIs" dxfId="7" priority="1" operator="greaterThan">
      <formula>0</formula>
    </cfRule>
  </conditionalFormatting>
  <dataValidations count="1">
    <dataValidation type="list" allowBlank="1" showInputMessage="1" showErrorMessage="1" sqref="G4:G75">
      <formula1>"Гран-При, Диплом (лауреата) I степени, Диплом (лауреата) II степени, Диплом (лауреата) III степени, Дипломант, Специальные награды"</formula1>
    </dataValidation>
  </dataValidations>
  <pageMargins left="0.70866141732283472" right="0.70866141732283472" top="0.74803149606299213" bottom="0.74803149606299213" header="0.31496062992125984" footer="0.31496062992125984"/>
  <pageSetup paperSize="9" orientation="landscape" r:id="rId1"/>
  <headerFooter>
    <oddHeader>&amp;R&amp;"Times New Roman,обычный"&amp;10Анализ деятельности образовательного учреждения культурыпо итогам 2020-2021 учебного года</oddHeader>
    <oddFooter>&amp;C&amp;P</oddFooter>
  </headerFooter>
  <legacyDrawing r:id="rId2"/>
</worksheet>
</file>

<file path=xl/worksheets/sheet18.xml><?xml version="1.0" encoding="utf-8"?>
<worksheet xmlns="http://schemas.openxmlformats.org/spreadsheetml/2006/main" xmlns:r="http://schemas.openxmlformats.org/officeDocument/2006/relationships">
  <dimension ref="A1:H75"/>
  <sheetViews>
    <sheetView showWhiteSpace="0" view="pageLayout" workbookViewId="0">
      <selection activeCell="F40" sqref="F40"/>
    </sheetView>
  </sheetViews>
  <sheetFormatPr defaultRowHeight="12.75"/>
  <cols>
    <col min="1" max="1" width="3.85546875" style="9" customWidth="1"/>
    <col min="2" max="2" width="34.7109375" style="9" customWidth="1"/>
    <col min="3" max="3" width="11.28515625" style="9" customWidth="1"/>
    <col min="4" max="4" width="17.28515625" style="9" customWidth="1"/>
    <col min="5" max="5" width="14.7109375" style="9" customWidth="1"/>
    <col min="6" max="6" width="18.7109375" style="9" customWidth="1"/>
    <col min="7" max="7" width="11.5703125" style="9" customWidth="1"/>
    <col min="8" max="8" width="18.7109375" style="9" customWidth="1"/>
    <col min="9" max="16384" width="9.140625" style="9"/>
  </cols>
  <sheetData>
    <row r="1" spans="1:8" ht="32.25" customHeight="1">
      <c r="A1" s="133" t="s">
        <v>159</v>
      </c>
      <c r="B1" s="133"/>
      <c r="C1" s="133"/>
      <c r="D1" s="133"/>
      <c r="E1" s="133"/>
      <c r="F1" s="133"/>
      <c r="G1" s="133"/>
      <c r="H1" s="133"/>
    </row>
    <row r="3" spans="1:8" ht="25.5">
      <c r="A3" s="39" t="s">
        <v>23</v>
      </c>
      <c r="B3" s="39" t="s">
        <v>143</v>
      </c>
      <c r="C3" s="39" t="s">
        <v>144</v>
      </c>
      <c r="D3" s="39" t="s">
        <v>145</v>
      </c>
      <c r="E3" s="39" t="s">
        <v>146</v>
      </c>
      <c r="F3" s="39" t="s">
        <v>147</v>
      </c>
      <c r="G3" s="39" t="s">
        <v>148</v>
      </c>
      <c r="H3" s="39" t="s">
        <v>149</v>
      </c>
    </row>
    <row r="4" spans="1:8" ht="38.25">
      <c r="A4" s="11">
        <f>IF(OR(B4&lt;&gt;0, C4&lt;&gt;0, D4&lt;&gt;0, E4&lt;&gt;0, F4&lt;&gt;0, G4&lt;&gt;0, H4&lt;&gt;0), 1, "")</f>
        <v>1</v>
      </c>
      <c r="B4" s="52" t="s">
        <v>447</v>
      </c>
      <c r="C4" s="15" t="s">
        <v>448</v>
      </c>
      <c r="D4" s="52" t="s">
        <v>449</v>
      </c>
      <c r="E4" s="15" t="s">
        <v>172</v>
      </c>
      <c r="F4" s="15" t="s">
        <v>362</v>
      </c>
      <c r="G4" s="15" t="s">
        <v>306</v>
      </c>
      <c r="H4" s="15" t="s">
        <v>215</v>
      </c>
    </row>
    <row r="5" spans="1:8" ht="38.25">
      <c r="A5" s="11">
        <f>IF(OR(B5&lt;&gt;0, C5&lt;&gt;0, D5&lt;&gt;0, E5&lt;&gt;0, F5&lt;&gt;0, G5&lt;&gt;0, H5&lt;&gt;0), 2, "")</f>
        <v>2</v>
      </c>
      <c r="B5" s="52" t="s">
        <v>450</v>
      </c>
      <c r="C5" s="97">
        <v>44044</v>
      </c>
      <c r="D5" s="52" t="s">
        <v>451</v>
      </c>
      <c r="E5" s="15" t="s">
        <v>172</v>
      </c>
      <c r="F5" s="15" t="s">
        <v>362</v>
      </c>
      <c r="G5" s="15" t="s">
        <v>306</v>
      </c>
      <c r="H5" s="15" t="s">
        <v>215</v>
      </c>
    </row>
    <row r="6" spans="1:8" ht="38.25">
      <c r="A6" s="11">
        <f>IF(OR(B6&lt;&gt;0, C6&lt;&gt;0, D6&lt;&gt;0, E6&lt;&gt;0, F6&lt;&gt;0, G6&lt;&gt;0, H6&lt;&gt;0), 3, "")</f>
        <v>3</v>
      </c>
      <c r="B6" s="52" t="s">
        <v>452</v>
      </c>
      <c r="C6" s="13">
        <v>44107</v>
      </c>
      <c r="D6" s="52" t="s">
        <v>373</v>
      </c>
      <c r="E6" s="15" t="s">
        <v>453</v>
      </c>
      <c r="F6" s="15" t="s">
        <v>558</v>
      </c>
      <c r="G6" s="15" t="s">
        <v>313</v>
      </c>
      <c r="H6" s="15" t="s">
        <v>189</v>
      </c>
    </row>
    <row r="7" spans="1:8" ht="38.25">
      <c r="A7" s="11">
        <f>IF(OR(B7&lt;&gt;0, C7&lt;&gt;0, D7&lt;&gt;0, E7&lt;&gt;0, F7&lt;&gt;0, G7&lt;&gt;0, H7&lt;&gt;0), 4, "")</f>
        <v>4</v>
      </c>
      <c r="B7" s="52" t="s">
        <v>452</v>
      </c>
      <c r="C7" s="13">
        <v>44107</v>
      </c>
      <c r="D7" s="52" t="s">
        <v>373</v>
      </c>
      <c r="E7" s="15" t="s">
        <v>453</v>
      </c>
      <c r="F7" s="15" t="s">
        <v>454</v>
      </c>
      <c r="G7" s="15" t="s">
        <v>303</v>
      </c>
      <c r="H7" s="15" t="s">
        <v>189</v>
      </c>
    </row>
    <row r="8" spans="1:8" ht="38.25">
      <c r="A8" s="11">
        <f>IF(OR(B8&lt;&gt;0, C8&lt;&gt;0, D8&lt;&gt;0, E8&lt;&gt;0, F8&lt;&gt;0, G8&lt;&gt;0, H8&lt;&gt;0), 5, "")</f>
        <v>5</v>
      </c>
      <c r="B8" s="52" t="s">
        <v>455</v>
      </c>
      <c r="C8" s="13">
        <v>44109</v>
      </c>
      <c r="D8" s="52" t="s">
        <v>373</v>
      </c>
      <c r="E8" s="15" t="s">
        <v>212</v>
      </c>
      <c r="F8" s="15" t="s">
        <v>339</v>
      </c>
      <c r="G8" s="15" t="s">
        <v>313</v>
      </c>
      <c r="H8" s="15" t="s">
        <v>354</v>
      </c>
    </row>
    <row r="9" spans="1:8" ht="38.25">
      <c r="A9" s="11">
        <f>IF(OR(B9&lt;&gt;0, C9&lt;&gt;0, D9&lt;&gt;0, E9&lt;&gt;0, F9&lt;&gt;0, G9&lt;&gt;0, H9&lt;&gt;0), 6, "")</f>
        <v>6</v>
      </c>
      <c r="B9" s="52" t="s">
        <v>456</v>
      </c>
      <c r="C9" s="97">
        <v>44105</v>
      </c>
      <c r="D9" s="52" t="s">
        <v>373</v>
      </c>
      <c r="E9" s="15" t="s">
        <v>172</v>
      </c>
      <c r="F9" s="15" t="s">
        <v>362</v>
      </c>
      <c r="G9" s="15" t="s">
        <v>313</v>
      </c>
      <c r="H9" s="15" t="s">
        <v>215</v>
      </c>
    </row>
    <row r="10" spans="1:8" ht="38.25">
      <c r="A10" s="11">
        <f>IF(OR(B10&lt;&gt;0, C10&lt;&gt;0, D10&lt;&gt;0, E10&lt;&gt;0, F10&lt;&gt;0, G10&lt;&gt;0, H10&lt;&gt;0), 7, "")</f>
        <v>7</v>
      </c>
      <c r="B10" s="52" t="s">
        <v>457</v>
      </c>
      <c r="C10" s="15" t="s">
        <v>458</v>
      </c>
      <c r="D10" s="52" t="s">
        <v>459</v>
      </c>
      <c r="E10" s="15" t="s">
        <v>172</v>
      </c>
      <c r="F10" s="15" t="s">
        <v>559</v>
      </c>
      <c r="G10" s="15" t="s">
        <v>303</v>
      </c>
      <c r="H10" s="15" t="s">
        <v>229</v>
      </c>
    </row>
    <row r="11" spans="1:8" ht="51">
      <c r="A11" s="11">
        <f>IF(OR(B11&lt;&gt;0, C11&lt;&gt;0, D11&lt;&gt;0, E11&lt;&gt;0, F11&lt;&gt;0, G11&lt;&gt;0, H11&lt;&gt;0), 8, "")</f>
        <v>8</v>
      </c>
      <c r="B11" s="52" t="s">
        <v>460</v>
      </c>
      <c r="C11" s="15" t="s">
        <v>461</v>
      </c>
      <c r="D11" s="52" t="s">
        <v>411</v>
      </c>
      <c r="E11" s="15" t="s">
        <v>371</v>
      </c>
      <c r="F11" s="15" t="s">
        <v>372</v>
      </c>
      <c r="G11" s="15" t="s">
        <v>303</v>
      </c>
      <c r="H11" s="15" t="s">
        <v>222</v>
      </c>
    </row>
    <row r="12" spans="1:8" ht="38.25">
      <c r="A12" s="11">
        <f>IF(OR(B12&lt;&gt;0, C12&lt;&gt;0, D12&lt;&gt;0, E12&lt;&gt;0, F12&lt;&gt;0, G12&lt;&gt;0, H12&lt;&gt;0), 9, "")</f>
        <v>9</v>
      </c>
      <c r="B12" s="52" t="s">
        <v>462</v>
      </c>
      <c r="C12" s="15" t="s">
        <v>461</v>
      </c>
      <c r="D12" s="52" t="s">
        <v>463</v>
      </c>
      <c r="E12" s="15" t="s">
        <v>371</v>
      </c>
      <c r="F12" s="15" t="s">
        <v>372</v>
      </c>
      <c r="G12" s="15" t="s">
        <v>303</v>
      </c>
      <c r="H12" s="15" t="s">
        <v>222</v>
      </c>
    </row>
    <row r="13" spans="1:8" ht="38.25">
      <c r="A13" s="11">
        <f>IF(OR(B13&lt;&gt;0, C13&lt;&gt;0, D13&lt;&gt;0, E13&lt;&gt;0, F13&lt;&gt;0, G13&lt;&gt;0, H13&lt;&gt;0), 10, "")</f>
        <v>10</v>
      </c>
      <c r="B13" s="52" t="s">
        <v>464</v>
      </c>
      <c r="C13" s="15" t="s">
        <v>461</v>
      </c>
      <c r="D13" s="52" t="s">
        <v>465</v>
      </c>
      <c r="E13" s="15" t="s">
        <v>371</v>
      </c>
      <c r="F13" s="15" t="s">
        <v>372</v>
      </c>
      <c r="G13" s="15" t="s">
        <v>303</v>
      </c>
      <c r="H13" s="15" t="s">
        <v>222</v>
      </c>
    </row>
    <row r="14" spans="1:8" ht="63.75">
      <c r="A14" s="11">
        <f>IF(OR(B14&lt;&gt;0, C14&lt;&gt;0, D14&lt;&gt;0, E14&lt;&gt;0, F14&lt;&gt;0, G14&lt;&gt;0, H14&lt;&gt;0), 11, "")</f>
        <v>11</v>
      </c>
      <c r="B14" s="52" t="s">
        <v>466</v>
      </c>
      <c r="C14" s="15" t="s">
        <v>467</v>
      </c>
      <c r="D14" s="52" t="s">
        <v>468</v>
      </c>
      <c r="E14" s="15" t="s">
        <v>301</v>
      </c>
      <c r="F14" s="15" t="s">
        <v>406</v>
      </c>
      <c r="G14" s="15" t="s">
        <v>335</v>
      </c>
      <c r="H14" s="15" t="s">
        <v>229</v>
      </c>
    </row>
    <row r="15" spans="1:8" ht="38.25">
      <c r="A15" s="11">
        <f>IF(OR(B15&lt;&gt;0, C15&lt;&gt;0, D15&lt;&gt;0, E15&lt;&gt;0, F15&lt;&gt;0, G15&lt;&gt;0, H15&lt;&gt;0), 12, "")</f>
        <v>12</v>
      </c>
      <c r="B15" s="52" t="s">
        <v>469</v>
      </c>
      <c r="C15" s="15" t="s">
        <v>470</v>
      </c>
      <c r="D15" s="52" t="s">
        <v>411</v>
      </c>
      <c r="E15" s="15" t="s">
        <v>172</v>
      </c>
      <c r="F15" s="15" t="s">
        <v>559</v>
      </c>
      <c r="G15" s="15" t="s">
        <v>306</v>
      </c>
      <c r="H15" s="15" t="s">
        <v>229</v>
      </c>
    </row>
    <row r="16" spans="1:8" ht="51">
      <c r="A16" s="11">
        <f>IF(OR(B16&lt;&gt;0, C16&lt;&gt;0, D16&lt;&gt;0, E16&lt;&gt;0, F16&lt;&gt;0, G16&lt;&gt;0, H16&lt;&gt;0), 13, "")</f>
        <v>13</v>
      </c>
      <c r="B16" s="52" t="s">
        <v>471</v>
      </c>
      <c r="C16" s="15" t="s">
        <v>472</v>
      </c>
      <c r="D16" s="52" t="s">
        <v>473</v>
      </c>
      <c r="E16" s="15" t="s">
        <v>67</v>
      </c>
      <c r="F16" s="15" t="s">
        <v>312</v>
      </c>
      <c r="G16" s="15" t="s">
        <v>335</v>
      </c>
      <c r="H16" s="15" t="s">
        <v>314</v>
      </c>
    </row>
    <row r="17" spans="1:8" ht="38.25">
      <c r="A17" s="11">
        <f>IF(OR(B17&lt;&gt;0, C17&lt;&gt;0, D17&lt;&gt;0, E17&lt;&gt;0, F17&lt;&gt;0, G17&lt;&gt;0, H17&lt;&gt;0), 14, "")</f>
        <v>14</v>
      </c>
      <c r="B17" s="52" t="s">
        <v>474</v>
      </c>
      <c r="C17" s="15" t="s">
        <v>475</v>
      </c>
      <c r="D17" s="52" t="s">
        <v>476</v>
      </c>
      <c r="E17" s="15" t="s">
        <v>371</v>
      </c>
      <c r="F17" s="15" t="s">
        <v>372</v>
      </c>
      <c r="G17" s="15" t="s">
        <v>303</v>
      </c>
      <c r="H17" s="15" t="s">
        <v>222</v>
      </c>
    </row>
    <row r="18" spans="1:8" ht="51">
      <c r="A18" s="11">
        <f>IF(OR(B18&lt;&gt;0, C18&lt;&gt;0, D18&lt;&gt;0, E18&lt;&gt;0, F18&lt;&gt;0, G18&lt;&gt;0, H18&lt;&gt;0), 15, "")</f>
        <v>15</v>
      </c>
      <c r="B18" s="52" t="s">
        <v>477</v>
      </c>
      <c r="C18" s="15" t="s">
        <v>478</v>
      </c>
      <c r="D18" s="52" t="s">
        <v>479</v>
      </c>
      <c r="E18" s="15" t="s">
        <v>67</v>
      </c>
      <c r="F18" s="15" t="s">
        <v>312</v>
      </c>
      <c r="G18" s="15" t="s">
        <v>335</v>
      </c>
      <c r="H18" s="15" t="s">
        <v>314</v>
      </c>
    </row>
    <row r="19" spans="1:8" ht="51">
      <c r="A19" s="11">
        <f>IF(OR(B19&lt;&gt;0, C19&lt;&gt;0, D19&lt;&gt;0, E19&lt;&gt;0, F19&lt;&gt;0, G19&lt;&gt;0, H19&lt;&gt;0), 16, "")</f>
        <v>16</v>
      </c>
      <c r="B19" s="52" t="s">
        <v>480</v>
      </c>
      <c r="C19" s="15" t="s">
        <v>481</v>
      </c>
      <c r="D19" s="52" t="s">
        <v>353</v>
      </c>
      <c r="E19" s="15" t="s">
        <v>262</v>
      </c>
      <c r="F19" s="15" t="s">
        <v>402</v>
      </c>
      <c r="G19" s="15" t="s">
        <v>335</v>
      </c>
      <c r="H19" s="15" t="s">
        <v>482</v>
      </c>
    </row>
    <row r="20" spans="1:8" ht="25.5">
      <c r="A20" s="11">
        <f>IF(OR(B20&lt;&gt;0, C20&lt;&gt;0, D20&lt;&gt;0, E20&lt;&gt;0, F20&lt;&gt;0, G20&lt;&gt;0, H20&lt;&gt;0), 17, "")</f>
        <v>17</v>
      </c>
      <c r="B20" s="52" t="s">
        <v>483</v>
      </c>
      <c r="C20" s="15" t="s">
        <v>484</v>
      </c>
      <c r="D20" s="52" t="s">
        <v>485</v>
      </c>
      <c r="E20" s="15" t="s">
        <v>65</v>
      </c>
      <c r="F20" s="15" t="s">
        <v>358</v>
      </c>
      <c r="G20" s="15" t="s">
        <v>379</v>
      </c>
      <c r="H20" s="15" t="s">
        <v>220</v>
      </c>
    </row>
    <row r="21" spans="1:8" ht="25.5">
      <c r="A21" s="11">
        <f>IF(OR(B21&lt;&gt;0, C21&lt;&gt;0, D21&lt;&gt;0, E21&lt;&gt;0, F21&lt;&gt;0, G21&lt;&gt;0, H21&lt;&gt;0), 18, "")</f>
        <v>18</v>
      </c>
      <c r="B21" s="52" t="s">
        <v>486</v>
      </c>
      <c r="C21" s="15" t="s">
        <v>487</v>
      </c>
      <c r="D21" s="52" t="s">
        <v>488</v>
      </c>
      <c r="E21" s="15" t="s">
        <v>172</v>
      </c>
      <c r="F21" s="15" t="s">
        <v>362</v>
      </c>
      <c r="G21" s="15" t="s">
        <v>335</v>
      </c>
      <c r="H21" s="15" t="s">
        <v>215</v>
      </c>
    </row>
    <row r="22" spans="1:8" ht="38.25">
      <c r="A22" s="11">
        <f>IF(OR(B22&lt;&gt;0, C22&lt;&gt;0, D22&lt;&gt;0, E22&lt;&gt;0, F22&lt;&gt;0, G22&lt;&gt;0, H22&lt;&gt;0), 19, "")</f>
        <v>19</v>
      </c>
      <c r="B22" s="52" t="s">
        <v>489</v>
      </c>
      <c r="C22" s="15" t="s">
        <v>490</v>
      </c>
      <c r="D22" s="52" t="s">
        <v>491</v>
      </c>
      <c r="E22" s="15" t="s">
        <v>172</v>
      </c>
      <c r="F22" s="15" t="s">
        <v>374</v>
      </c>
      <c r="G22" s="15" t="s">
        <v>303</v>
      </c>
      <c r="H22" s="15" t="s">
        <v>222</v>
      </c>
    </row>
    <row r="23" spans="1:8" ht="38.25">
      <c r="A23" s="11">
        <f>IF(OR(B23&lt;&gt;0, C23&lt;&gt;0, D23&lt;&gt;0, E23&lt;&gt;0, F23&lt;&gt;0, G23&lt;&gt;0, H23&lt;&gt;0), 20, "")</f>
        <v>20</v>
      </c>
      <c r="B23" s="52" t="s">
        <v>492</v>
      </c>
      <c r="C23" s="15" t="s">
        <v>493</v>
      </c>
      <c r="D23" s="52" t="s">
        <v>494</v>
      </c>
      <c r="E23" s="15" t="s">
        <v>172</v>
      </c>
      <c r="F23" s="15" t="s">
        <v>556</v>
      </c>
      <c r="G23" s="15" t="s">
        <v>313</v>
      </c>
      <c r="H23" s="15" t="s">
        <v>222</v>
      </c>
    </row>
    <row r="24" spans="1:8" ht="38.25">
      <c r="A24" s="11">
        <f>IF(OR(B24&lt;&gt;0, C24&lt;&gt;0, D24&lt;&gt;0, E24&lt;&gt;0, F24&lt;&gt;0, G24&lt;&gt;0, H24&lt;&gt;0), 21, "")</f>
        <v>21</v>
      </c>
      <c r="B24" s="52" t="s">
        <v>492</v>
      </c>
      <c r="C24" s="15" t="s">
        <v>493</v>
      </c>
      <c r="D24" s="52" t="s">
        <v>494</v>
      </c>
      <c r="E24" s="15" t="s">
        <v>172</v>
      </c>
      <c r="F24" s="15" t="s">
        <v>374</v>
      </c>
      <c r="G24" s="15" t="s">
        <v>306</v>
      </c>
      <c r="H24" s="15" t="s">
        <v>222</v>
      </c>
    </row>
    <row r="25" spans="1:8" ht="51">
      <c r="A25" s="11">
        <f>IF(OR(B25&lt;&gt;0, C25&lt;&gt;0, D25&lt;&gt;0, E25&lt;&gt;0, F25&lt;&gt;0, G25&lt;&gt;0, H25&lt;&gt;0), 22, "")</f>
        <v>22</v>
      </c>
      <c r="B25" s="52" t="s">
        <v>495</v>
      </c>
      <c r="C25" s="15" t="s">
        <v>496</v>
      </c>
      <c r="D25" s="52" t="s">
        <v>497</v>
      </c>
      <c r="E25" s="15" t="s">
        <v>401</v>
      </c>
      <c r="F25" s="15" t="s">
        <v>402</v>
      </c>
      <c r="G25" s="15" t="s">
        <v>306</v>
      </c>
      <c r="H25" s="15" t="s">
        <v>482</v>
      </c>
    </row>
    <row r="26" spans="1:8" ht="25.5">
      <c r="A26" s="11">
        <f>IF(OR(B26&lt;&gt;0, C26&lt;&gt;0, D26&lt;&gt;0, E26&lt;&gt;0, F26&lt;&gt;0, G26&lt;&gt;0, H26&lt;&gt;0), 23, "")</f>
        <v>23</v>
      </c>
      <c r="B26" s="52" t="s">
        <v>498</v>
      </c>
      <c r="C26" s="15" t="s">
        <v>499</v>
      </c>
      <c r="D26" s="52" t="s">
        <v>353</v>
      </c>
      <c r="E26" s="15" t="s">
        <v>401</v>
      </c>
      <c r="F26" s="15" t="s">
        <v>454</v>
      </c>
      <c r="G26" s="15" t="s">
        <v>335</v>
      </c>
      <c r="H26" s="15" t="s">
        <v>225</v>
      </c>
    </row>
    <row r="27" spans="1:8" ht="51">
      <c r="A27" s="11">
        <f>IF(OR(B27&lt;&gt;0, C27&lt;&gt;0, D27&lt;&gt;0, E27&lt;&gt;0, F27&lt;&gt;0, G27&lt;&gt;0, H27&lt;&gt;0), 24, "")</f>
        <v>24</v>
      </c>
      <c r="B27" s="52" t="s">
        <v>500</v>
      </c>
      <c r="C27" s="15" t="s">
        <v>501</v>
      </c>
      <c r="D27" s="52" t="s">
        <v>353</v>
      </c>
      <c r="E27" s="15" t="s">
        <v>338</v>
      </c>
      <c r="F27" s="15" t="s">
        <v>339</v>
      </c>
      <c r="G27" s="15" t="s">
        <v>313</v>
      </c>
      <c r="H27" s="15" t="s">
        <v>340</v>
      </c>
    </row>
    <row r="28" spans="1:8" ht="38.25">
      <c r="A28" s="11">
        <f>IF(OR(B28&lt;&gt;0, C28&lt;&gt;0, D28&lt;&gt;0, E28&lt;&gt;0, F28&lt;&gt;0, G28&lt;&gt;0, H28&lt;&gt;0), 25, "")</f>
        <v>25</v>
      </c>
      <c r="B28" s="52" t="s">
        <v>500</v>
      </c>
      <c r="C28" s="15" t="s">
        <v>502</v>
      </c>
      <c r="D28" s="52" t="s">
        <v>353</v>
      </c>
      <c r="E28" s="15" t="s">
        <v>401</v>
      </c>
      <c r="F28" s="15" t="s">
        <v>503</v>
      </c>
      <c r="G28" s="15" t="s">
        <v>313</v>
      </c>
      <c r="H28" s="15" t="s">
        <v>225</v>
      </c>
    </row>
    <row r="29" spans="1:8" ht="38.25">
      <c r="A29" s="11">
        <f>IF(OR(B29&lt;&gt;0, C29&lt;&gt;0, D29&lt;&gt;0, E29&lt;&gt;0, F29&lt;&gt;0, G29&lt;&gt;0, H29&lt;&gt;0), 26, "")</f>
        <v>26</v>
      </c>
      <c r="B29" s="52" t="s">
        <v>500</v>
      </c>
      <c r="C29" s="15" t="s">
        <v>502</v>
      </c>
      <c r="D29" s="52" t="s">
        <v>353</v>
      </c>
      <c r="E29" s="15" t="s">
        <v>401</v>
      </c>
      <c r="F29" s="15" t="s">
        <v>454</v>
      </c>
      <c r="G29" s="15" t="s">
        <v>303</v>
      </c>
      <c r="H29" s="15" t="s">
        <v>225</v>
      </c>
    </row>
    <row r="30" spans="1:8" ht="63.75">
      <c r="A30" s="11">
        <f>IF(OR(B30&lt;&gt;0, C30&lt;&gt;0, D30&lt;&gt;0, E30&lt;&gt;0, F30&lt;&gt;0, G30&lt;&gt;0, H30&lt;&gt;0), 27, "")</f>
        <v>27</v>
      </c>
      <c r="B30" s="52" t="s">
        <v>504</v>
      </c>
      <c r="C30" s="15" t="s">
        <v>505</v>
      </c>
      <c r="D30" s="52" t="s">
        <v>506</v>
      </c>
      <c r="E30" s="15" t="s">
        <v>371</v>
      </c>
      <c r="F30" s="15" t="s">
        <v>406</v>
      </c>
      <c r="G30" s="15" t="s">
        <v>313</v>
      </c>
      <c r="H30" s="15" t="s">
        <v>229</v>
      </c>
    </row>
    <row r="31" spans="1:8" ht="38.25">
      <c r="A31" s="11">
        <f>IF(OR(B31&lt;&gt;0, C31&lt;&gt;0, D31&lt;&gt;0, E31&lt;&gt;0, F31&lt;&gt;0, G31&lt;&gt;0, H31&lt;&gt;0), 28, "")</f>
        <v>28</v>
      </c>
      <c r="B31" s="52" t="s">
        <v>507</v>
      </c>
      <c r="C31" s="15" t="s">
        <v>508</v>
      </c>
      <c r="D31" s="52" t="s">
        <v>390</v>
      </c>
      <c r="E31" s="15" t="s">
        <v>172</v>
      </c>
      <c r="F31" s="15" t="s">
        <v>362</v>
      </c>
      <c r="G31" s="15" t="s">
        <v>313</v>
      </c>
      <c r="H31" s="15" t="s">
        <v>215</v>
      </c>
    </row>
    <row r="32" spans="1:8" ht="51">
      <c r="A32" s="11">
        <f>IF(OR(B32&lt;&gt;0, C32&lt;&gt;0, D32&lt;&gt;0, E32&lt;&gt;0, F32&lt;&gt;0, G32&lt;&gt;0, H32&lt;&gt;0), 29, "")</f>
        <v>29</v>
      </c>
      <c r="B32" s="52" t="s">
        <v>509</v>
      </c>
      <c r="C32" s="15" t="s">
        <v>510</v>
      </c>
      <c r="D32" s="52" t="s">
        <v>347</v>
      </c>
      <c r="E32" s="15" t="s">
        <v>371</v>
      </c>
      <c r="F32" s="15" t="s">
        <v>372</v>
      </c>
      <c r="G32" s="15" t="s">
        <v>303</v>
      </c>
      <c r="H32" s="15" t="s">
        <v>222</v>
      </c>
    </row>
    <row r="33" spans="1:8" ht="51">
      <c r="A33" s="11">
        <f>IF(OR(B33&lt;&gt;0, C33&lt;&gt;0, D33&lt;&gt;0, E33&lt;&gt;0, F33&lt;&gt;0, G33&lt;&gt;0, H33&lt;&gt;0), 30, "")</f>
        <v>30</v>
      </c>
      <c r="B33" s="52" t="s">
        <v>511</v>
      </c>
      <c r="C33" s="15" t="s">
        <v>416</v>
      </c>
      <c r="D33" s="52" t="s">
        <v>512</v>
      </c>
      <c r="E33" s="15" t="s">
        <v>401</v>
      </c>
      <c r="F33" s="15" t="s">
        <v>402</v>
      </c>
      <c r="G33" s="15" t="s">
        <v>313</v>
      </c>
      <c r="H33" s="15" t="s">
        <v>482</v>
      </c>
    </row>
    <row r="34" spans="1:8" ht="51">
      <c r="A34" s="11">
        <f>IF(OR(B34&lt;&gt;0, C34&lt;&gt;0, D34&lt;&gt;0, E34&lt;&gt;0, F34&lt;&gt;0, G34&lt;&gt;0, H34&lt;&gt;0), 31, "")</f>
        <v>31</v>
      </c>
      <c r="B34" s="52" t="s">
        <v>511</v>
      </c>
      <c r="C34" s="15" t="s">
        <v>513</v>
      </c>
      <c r="D34" s="52" t="s">
        <v>512</v>
      </c>
      <c r="E34" s="15" t="s">
        <v>401</v>
      </c>
      <c r="F34" s="15" t="s">
        <v>503</v>
      </c>
      <c r="G34" s="15" t="s">
        <v>303</v>
      </c>
      <c r="H34" s="15" t="s">
        <v>514</v>
      </c>
    </row>
    <row r="35" spans="1:8" ht="38.25">
      <c r="A35" s="11">
        <f>IF(OR(B35&lt;&gt;0, C35&lt;&gt;0, D35&lt;&gt;0, E35&lt;&gt;0, F35&lt;&gt;0, G35&lt;&gt;0, H35&lt;&gt;0), 32, "")</f>
        <v>32</v>
      </c>
      <c r="B35" s="52" t="s">
        <v>511</v>
      </c>
      <c r="C35" s="15" t="s">
        <v>513</v>
      </c>
      <c r="D35" s="52" t="s">
        <v>512</v>
      </c>
      <c r="E35" s="15" t="s">
        <v>338</v>
      </c>
      <c r="F35" s="15" t="s">
        <v>339</v>
      </c>
      <c r="G35" s="15" t="s">
        <v>313</v>
      </c>
      <c r="H35" s="15" t="s">
        <v>225</v>
      </c>
    </row>
    <row r="36" spans="1:8" ht="38.25">
      <c r="A36" s="11">
        <f>IF(OR(B36&lt;&gt;0, C36&lt;&gt;0, D36&lt;&gt;0, E36&lt;&gt;0, F36&lt;&gt;0, G36&lt;&gt;0, H36&lt;&gt;0), 33, "")</f>
        <v>33</v>
      </c>
      <c r="B36" s="52" t="s">
        <v>511</v>
      </c>
      <c r="C36" s="15" t="s">
        <v>513</v>
      </c>
      <c r="D36" s="52" t="s">
        <v>512</v>
      </c>
      <c r="E36" s="15" t="s">
        <v>338</v>
      </c>
      <c r="F36" s="15" t="s">
        <v>515</v>
      </c>
      <c r="G36" s="15" t="s">
        <v>306</v>
      </c>
      <c r="H36" s="15" t="s">
        <v>516</v>
      </c>
    </row>
    <row r="37" spans="1:8" ht="38.25">
      <c r="A37" s="11">
        <f>IF(OR(B37&lt;&gt;0, C37&lt;&gt;0, D37&lt;&gt;0, E37&lt;&gt;0, F37&lt;&gt;0, G37&lt;&gt;0, H37&lt;&gt;0), 34, "")</f>
        <v>34</v>
      </c>
      <c r="B37" s="52" t="s">
        <v>517</v>
      </c>
      <c r="C37" s="15" t="s">
        <v>518</v>
      </c>
      <c r="D37" s="52" t="s">
        <v>373</v>
      </c>
      <c r="E37" s="15" t="s">
        <v>172</v>
      </c>
      <c r="F37" s="15" t="s">
        <v>551</v>
      </c>
      <c r="G37" s="15" t="s">
        <v>303</v>
      </c>
      <c r="H37" s="15" t="s">
        <v>229</v>
      </c>
    </row>
    <row r="38" spans="1:8" ht="51">
      <c r="A38" s="11">
        <f>IF(OR(B38&lt;&gt;0, C38&lt;&gt;0, D38&lt;&gt;0, E38&lt;&gt;0, F38&lt;&gt;0, G38&lt;&gt;0, H38&lt;&gt;0), 35, "")</f>
        <v>35</v>
      </c>
      <c r="B38" s="52" t="s">
        <v>519</v>
      </c>
      <c r="C38" s="13">
        <v>44284</v>
      </c>
      <c r="D38" s="52" t="s">
        <v>353</v>
      </c>
      <c r="E38" s="15" t="s">
        <v>338</v>
      </c>
      <c r="F38" s="15" t="s">
        <v>339</v>
      </c>
      <c r="G38" s="15" t="s">
        <v>313</v>
      </c>
      <c r="H38" s="15" t="s">
        <v>520</v>
      </c>
    </row>
    <row r="39" spans="1:8" ht="51">
      <c r="A39" s="11">
        <f>IF(OR(B39&lt;&gt;0, C39&lt;&gt;0, D39&lt;&gt;0, E39&lt;&gt;0, F39&lt;&gt;0, G39&lt;&gt;0, H39&lt;&gt;0), 36, "")</f>
        <v>36</v>
      </c>
      <c r="B39" s="52" t="s">
        <v>521</v>
      </c>
      <c r="C39" s="15" t="s">
        <v>522</v>
      </c>
      <c r="D39" s="52" t="s">
        <v>411</v>
      </c>
      <c r="E39" s="15" t="s">
        <v>338</v>
      </c>
      <c r="F39" s="15" t="s">
        <v>339</v>
      </c>
      <c r="G39" s="15" t="s">
        <v>303</v>
      </c>
      <c r="H39" s="15" t="s">
        <v>340</v>
      </c>
    </row>
    <row r="40" spans="1:8" ht="38.25">
      <c r="A40" s="11">
        <f>IF(OR(B40&lt;&gt;0, C40&lt;&gt;0, D40&lt;&gt;0, E40&lt;&gt;0, F40&lt;&gt;0, G40&lt;&gt;0, H40&lt;&gt;0), 37, "")</f>
        <v>37</v>
      </c>
      <c r="B40" s="52" t="s">
        <v>523</v>
      </c>
      <c r="C40" s="15" t="s">
        <v>524</v>
      </c>
      <c r="D40" s="52" t="s">
        <v>525</v>
      </c>
      <c r="E40" s="15" t="s">
        <v>172</v>
      </c>
      <c r="F40" s="15" t="s">
        <v>564</v>
      </c>
      <c r="G40" s="15" t="s">
        <v>335</v>
      </c>
      <c r="H40" s="15" t="s">
        <v>222</v>
      </c>
    </row>
    <row r="41" spans="1:8" ht="51">
      <c r="A41" s="11">
        <f>IF(OR(B41&lt;&gt;0, C41&lt;&gt;0, D41&lt;&gt;0, E41&lt;&gt;0, F41&lt;&gt;0, G41&lt;&gt;0, H41&lt;&gt;0), 38, "")</f>
        <v>38</v>
      </c>
      <c r="B41" s="52" t="s">
        <v>526</v>
      </c>
      <c r="C41" s="15" t="s">
        <v>527</v>
      </c>
      <c r="D41" s="52" t="s">
        <v>311</v>
      </c>
      <c r="E41" s="15" t="s">
        <v>338</v>
      </c>
      <c r="F41" s="15" t="s">
        <v>339</v>
      </c>
      <c r="G41" s="15" t="s">
        <v>379</v>
      </c>
      <c r="H41" s="15" t="s">
        <v>340</v>
      </c>
    </row>
    <row r="42" spans="1:8" ht="51">
      <c r="A42" s="11">
        <f>IF(OR(B42&lt;&gt;0, C42&lt;&gt;0, D42&lt;&gt;0, E42&lt;&gt;0, F42&lt;&gt;0, G42&lt;&gt;0, H42&lt;&gt;0), 39, "")</f>
        <v>39</v>
      </c>
      <c r="B42" s="52" t="s">
        <v>528</v>
      </c>
      <c r="C42" s="15" t="s">
        <v>529</v>
      </c>
      <c r="D42" s="52" t="s">
        <v>530</v>
      </c>
      <c r="E42" s="15" t="s">
        <v>262</v>
      </c>
      <c r="F42" s="15" t="s">
        <v>402</v>
      </c>
      <c r="G42" s="15" t="s">
        <v>306</v>
      </c>
      <c r="H42" s="15" t="s">
        <v>482</v>
      </c>
    </row>
    <row r="43" spans="1:8" ht="51">
      <c r="A43" s="11">
        <f>IF(OR(B43&lt;&gt;0, C43&lt;&gt;0, D43&lt;&gt;0, E43&lt;&gt;0, F43&lt;&gt;0, G43&lt;&gt;0, H43&lt;&gt;0), 40, "")</f>
        <v>40</v>
      </c>
      <c r="B43" s="52" t="s">
        <v>531</v>
      </c>
      <c r="C43" s="15" t="s">
        <v>527</v>
      </c>
      <c r="D43" s="52" t="s">
        <v>373</v>
      </c>
      <c r="E43" s="15" t="s">
        <v>262</v>
      </c>
      <c r="F43" s="15" t="s">
        <v>402</v>
      </c>
      <c r="G43" s="15" t="s">
        <v>313</v>
      </c>
      <c r="H43" s="15" t="s">
        <v>482</v>
      </c>
    </row>
    <row r="44" spans="1:8" ht="63.75">
      <c r="A44" s="11">
        <f>IF(OR(B44&lt;&gt;0, C44&lt;&gt;0, D44&lt;&gt;0, E44&lt;&gt;0, F44&lt;&gt;0, G44&lt;&gt;0, H44&lt;&gt;0), 41, "")</f>
        <v>41</v>
      </c>
      <c r="B44" s="52" t="s">
        <v>532</v>
      </c>
      <c r="C44" s="15" t="s">
        <v>533</v>
      </c>
      <c r="D44" s="52" t="s">
        <v>506</v>
      </c>
      <c r="E44" s="15" t="s">
        <v>262</v>
      </c>
      <c r="F44" s="15" t="s">
        <v>402</v>
      </c>
      <c r="G44" s="15" t="s">
        <v>303</v>
      </c>
      <c r="H44" s="15" t="s">
        <v>482</v>
      </c>
    </row>
    <row r="45" spans="1:8">
      <c r="A45" s="11" t="str">
        <f>IF(OR(B45&lt;&gt;0, C45&lt;&gt;0, D45&lt;&gt;0, E45&lt;&gt;0, F45&lt;&gt;0, G45&lt;&gt;0, H45&lt;&gt;0), 42, "")</f>
        <v/>
      </c>
      <c r="B45" s="52"/>
      <c r="C45" s="97"/>
      <c r="D45" s="52"/>
      <c r="E45" s="15"/>
      <c r="F45" s="15"/>
      <c r="G45" s="15"/>
      <c r="H45" s="15"/>
    </row>
    <row r="46" spans="1:8">
      <c r="A46" s="11" t="str">
        <f>IF(OR(B46&lt;&gt;0, C46&lt;&gt;0, D46&lt;&gt;0, E46&lt;&gt;0, F46&lt;&gt;0, G46&lt;&gt;0, H46&lt;&gt;0), 43, "")</f>
        <v/>
      </c>
      <c r="B46" s="52"/>
      <c r="C46" s="15"/>
      <c r="D46" s="52"/>
      <c r="E46" s="15"/>
      <c r="F46" s="15"/>
      <c r="G46" s="15"/>
      <c r="H46" s="15"/>
    </row>
    <row r="47" spans="1:8">
      <c r="A47" s="11" t="str">
        <f>IF(OR(B47&lt;&gt;0, C47&lt;&gt;0, D47&lt;&gt;0, E47&lt;&gt;0, F47&lt;&gt;0, G47&lt;&gt;0, H47&lt;&gt;0), 44, "")</f>
        <v/>
      </c>
      <c r="B47" s="52"/>
      <c r="C47" s="15"/>
      <c r="D47" s="52"/>
      <c r="E47" s="15"/>
      <c r="F47" s="15"/>
      <c r="G47" s="15"/>
      <c r="H47" s="15"/>
    </row>
    <row r="48" spans="1:8">
      <c r="A48" s="11" t="str">
        <f>IF(OR(B48&lt;&gt;0, C48&lt;&gt;0, D48&lt;&gt;0, E48&lt;&gt;0, F48&lt;&gt;0, G48&lt;&gt;0, H48&lt;&gt;0), 45, "")</f>
        <v/>
      </c>
      <c r="B48" s="52"/>
      <c r="C48" s="15"/>
      <c r="D48" s="52"/>
      <c r="E48" s="15"/>
      <c r="F48" s="15"/>
      <c r="G48" s="15"/>
      <c r="H48" s="15"/>
    </row>
    <row r="49" spans="1:8">
      <c r="A49" s="11" t="str">
        <f>IF(OR(B49&lt;&gt;0, C49&lt;&gt;0, D49&lt;&gt;0, E49&lt;&gt;0, F49&lt;&gt;0, G49&lt;&gt;0, H49&lt;&gt;0), 46, "")</f>
        <v/>
      </c>
      <c r="B49" s="52"/>
      <c r="C49" s="15"/>
      <c r="D49" s="52"/>
      <c r="E49" s="15"/>
      <c r="F49" s="15"/>
      <c r="G49" s="15"/>
      <c r="H49" s="15"/>
    </row>
    <row r="50" spans="1:8">
      <c r="A50" s="11" t="str">
        <f>IF(OR(B50&lt;&gt;0, C50&lt;&gt;0, D50&lt;&gt;0, E50&lt;&gt;0, F50&lt;&gt;0, G50&lt;&gt;0, H50&lt;&gt;0), 47, "")</f>
        <v/>
      </c>
      <c r="B50" s="52"/>
      <c r="C50" s="15"/>
      <c r="D50" s="52"/>
      <c r="E50" s="15"/>
      <c r="F50" s="15"/>
      <c r="G50" s="15"/>
      <c r="H50" s="15"/>
    </row>
    <row r="51" spans="1:8">
      <c r="A51" s="11" t="str">
        <f>IF(OR(B51&lt;&gt;0, C51&lt;&gt;0, D51&lt;&gt;0, E51&lt;&gt;0, F51&lt;&gt;0, G51&lt;&gt;0, H51&lt;&gt;0), 48, "")</f>
        <v/>
      </c>
      <c r="B51" s="52"/>
      <c r="C51" s="15"/>
      <c r="D51" s="52"/>
      <c r="E51" s="15"/>
      <c r="F51" s="15"/>
      <c r="G51" s="15"/>
      <c r="H51" s="15"/>
    </row>
    <row r="52" spans="1:8">
      <c r="A52" s="11" t="str">
        <f>IF(OR(B52&lt;&gt;0, C52&lt;&gt;0, D52&lt;&gt;0, E52&lt;&gt;0, F52&lt;&gt;0, G52&lt;&gt;0, H52&lt;&gt;0), 49, "")</f>
        <v/>
      </c>
      <c r="B52" s="52"/>
      <c r="C52" s="15"/>
      <c r="D52" s="52"/>
      <c r="E52" s="15"/>
      <c r="F52" s="15"/>
      <c r="G52" s="15"/>
      <c r="H52" s="15"/>
    </row>
    <row r="53" spans="1:8">
      <c r="A53" s="11" t="str">
        <f>IF(OR(B53&lt;&gt;0, C53&lt;&gt;0, D53&lt;&gt;0, E53&lt;&gt;0, F53&lt;&gt;0, G53&lt;&gt;0, H53&lt;&gt;0), 50, "")</f>
        <v/>
      </c>
      <c r="B53" s="52"/>
      <c r="C53" s="15"/>
      <c r="D53" s="52"/>
      <c r="E53" s="15"/>
      <c r="F53" s="15"/>
      <c r="G53" s="15"/>
      <c r="H53" s="15"/>
    </row>
    <row r="54" spans="1:8">
      <c r="A54" s="11" t="str">
        <f>IF(OR(B54&lt;&gt;0, C54&lt;&gt;0, D54&lt;&gt;0, E54&lt;&gt;0, F54&lt;&gt;0, G54&lt;&gt;0, H54&lt;&gt;0), 51, "")</f>
        <v/>
      </c>
      <c r="B54" s="52"/>
      <c r="C54" s="15"/>
      <c r="D54" s="52"/>
      <c r="E54" s="15"/>
      <c r="F54" s="15"/>
      <c r="G54" s="15"/>
      <c r="H54" s="15"/>
    </row>
    <row r="55" spans="1:8">
      <c r="A55" s="11" t="str">
        <f>IF(OR(B55&lt;&gt;0, C55&lt;&gt;0, D55&lt;&gt;0, E55&lt;&gt;0, F55&lt;&gt;0, G55&lt;&gt;0, H55&lt;&gt;0), 52, "")</f>
        <v/>
      </c>
      <c r="B55" s="52"/>
      <c r="C55" s="15"/>
      <c r="D55" s="52"/>
      <c r="E55" s="15"/>
      <c r="F55" s="15"/>
      <c r="G55" s="15"/>
      <c r="H55" s="15"/>
    </row>
    <row r="56" spans="1:8">
      <c r="A56" s="11" t="str">
        <f>IF(OR(B56&lt;&gt;0, C56&lt;&gt;0, D56&lt;&gt;0, E56&lt;&gt;0, F56&lt;&gt;0, G56&lt;&gt;0, H56&lt;&gt;0), 53, "")</f>
        <v/>
      </c>
      <c r="B56" s="52"/>
      <c r="C56" s="15"/>
      <c r="D56" s="52"/>
      <c r="E56" s="15"/>
      <c r="F56" s="15"/>
      <c r="G56" s="15"/>
      <c r="H56" s="15"/>
    </row>
    <row r="57" spans="1:8">
      <c r="A57" s="11" t="str">
        <f>IF(OR(B57&lt;&gt;0, C57&lt;&gt;0, D57&lt;&gt;0, E57&lt;&gt;0, F57&lt;&gt;0, G57&lt;&gt;0, H57&lt;&gt;0), 54, "")</f>
        <v/>
      </c>
      <c r="B57" s="52"/>
      <c r="C57" s="15"/>
      <c r="D57" s="52"/>
      <c r="E57" s="15"/>
      <c r="F57" s="15"/>
      <c r="G57" s="15"/>
      <c r="H57" s="15"/>
    </row>
    <row r="58" spans="1:8">
      <c r="A58" s="11" t="str">
        <f>IF(OR(B58&lt;&gt;0, C58&lt;&gt;0, D58&lt;&gt;0, E58&lt;&gt;0, F58&lt;&gt;0, G58&lt;&gt;0, H58&lt;&gt;0), 55, "")</f>
        <v/>
      </c>
      <c r="B58" s="52"/>
      <c r="C58" s="15"/>
      <c r="D58" s="52"/>
      <c r="E58" s="15"/>
      <c r="F58" s="15"/>
      <c r="G58" s="15"/>
      <c r="H58" s="15"/>
    </row>
    <row r="59" spans="1:8">
      <c r="A59" s="11" t="str">
        <f>IF(OR(B59&lt;&gt;0, C59&lt;&gt;0, D59&lt;&gt;0, E59&lt;&gt;0, F59&lt;&gt;0, G59&lt;&gt;0, H59&lt;&gt;0), 56, "")</f>
        <v/>
      </c>
      <c r="B59" s="52"/>
      <c r="C59" s="15"/>
      <c r="D59" s="52"/>
      <c r="E59" s="15"/>
      <c r="F59" s="15"/>
      <c r="G59" s="15"/>
      <c r="H59" s="15"/>
    </row>
    <row r="60" spans="1:8">
      <c r="A60" s="11" t="str">
        <f>IF(OR(B60&lt;&gt;0, C60&lt;&gt;0, D60&lt;&gt;0, E60&lt;&gt;0, F60&lt;&gt;0, G60&lt;&gt;0, H60&lt;&gt;0), 57, "")</f>
        <v/>
      </c>
      <c r="B60" s="52"/>
      <c r="C60" s="15"/>
      <c r="D60" s="52"/>
      <c r="E60" s="15"/>
      <c r="F60" s="15"/>
      <c r="G60" s="15"/>
      <c r="H60" s="15"/>
    </row>
    <row r="61" spans="1:8">
      <c r="A61" s="11" t="str">
        <f>IF(OR(B61&lt;&gt;0, C61&lt;&gt;0, D61&lt;&gt;0, E61&lt;&gt;0, F61&lt;&gt;0, G61&lt;&gt;0, H61&lt;&gt;0), 58, "")</f>
        <v/>
      </c>
      <c r="B61" s="52"/>
      <c r="C61" s="15"/>
      <c r="D61" s="52"/>
      <c r="E61" s="15"/>
      <c r="F61" s="15"/>
      <c r="G61" s="15"/>
      <c r="H61" s="15"/>
    </row>
    <row r="62" spans="1:8">
      <c r="A62" s="11" t="str">
        <f>IF(OR(B62&lt;&gt;0, C62&lt;&gt;0, D62&lt;&gt;0, E62&lt;&gt;0, F62&lt;&gt;0, G62&lt;&gt;0, H62&lt;&gt;0), 59, "")</f>
        <v/>
      </c>
      <c r="B62" s="52"/>
      <c r="C62" s="15"/>
      <c r="D62" s="52"/>
      <c r="E62" s="15"/>
      <c r="F62" s="15"/>
      <c r="G62" s="15"/>
      <c r="H62" s="15"/>
    </row>
    <row r="63" spans="1:8">
      <c r="A63" s="11" t="str">
        <f>IF(OR(B63&lt;&gt;0, C63&lt;&gt;0, D63&lt;&gt;0, E63&lt;&gt;0, F63&lt;&gt;0, G63&lt;&gt;0, H63&lt;&gt;0), 60, "")</f>
        <v/>
      </c>
      <c r="B63" s="52"/>
      <c r="C63" s="15"/>
      <c r="D63" s="52"/>
      <c r="E63" s="15"/>
      <c r="F63" s="15"/>
      <c r="G63" s="15"/>
      <c r="H63" s="15"/>
    </row>
    <row r="64" spans="1:8">
      <c r="A64" s="11" t="str">
        <f>IF(OR(B64&lt;&gt;0, C64&lt;&gt;0, D64&lt;&gt;0, E64&lt;&gt;0, F64&lt;&gt;0, G64&lt;&gt;0, H64&lt;&gt;0), 61, "")</f>
        <v/>
      </c>
      <c r="B64" s="52"/>
      <c r="C64" s="15"/>
      <c r="D64" s="52"/>
      <c r="E64" s="15"/>
      <c r="F64" s="15"/>
      <c r="G64" s="15"/>
      <c r="H64" s="15"/>
    </row>
    <row r="65" spans="1:8">
      <c r="A65" s="11" t="str">
        <f>IF(OR(B65&lt;&gt;0, C65&lt;&gt;0, D65&lt;&gt;0, E65&lt;&gt;0, F65&lt;&gt;0, G65&lt;&gt;0, H65&lt;&gt;0), 62, "")</f>
        <v/>
      </c>
      <c r="B65" s="52"/>
      <c r="C65" s="15"/>
      <c r="D65" s="52"/>
      <c r="E65" s="15"/>
      <c r="F65" s="15"/>
      <c r="G65" s="15"/>
      <c r="H65" s="15"/>
    </row>
    <row r="66" spans="1:8">
      <c r="A66" s="11" t="str">
        <f>IF(OR(B66&lt;&gt;0, C66&lt;&gt;0, D66&lt;&gt;0, E66&lt;&gt;0, F66&lt;&gt;0, G66&lt;&gt;0, H66&lt;&gt;0), 63, "")</f>
        <v/>
      </c>
      <c r="B66" s="52"/>
      <c r="C66" s="15"/>
      <c r="D66" s="52"/>
      <c r="E66" s="15"/>
      <c r="F66" s="15"/>
      <c r="G66" s="15"/>
      <c r="H66" s="15"/>
    </row>
    <row r="67" spans="1:8">
      <c r="A67" s="11" t="str">
        <f>IF(OR(B67&lt;&gt;0, C67&lt;&gt;0, D67&lt;&gt;0, E67&lt;&gt;0, F67&lt;&gt;0, G67&lt;&gt;0, H67&lt;&gt;0), 64, "")</f>
        <v/>
      </c>
      <c r="B67" s="52"/>
      <c r="C67" s="15"/>
      <c r="D67" s="52"/>
      <c r="E67" s="15"/>
      <c r="F67" s="15"/>
      <c r="G67" s="15"/>
      <c r="H67" s="15"/>
    </row>
    <row r="68" spans="1:8">
      <c r="A68" s="11" t="str">
        <f>IF(OR(B68&lt;&gt;0, C68&lt;&gt;0, D68&lt;&gt;0, E68&lt;&gt;0, F68&lt;&gt;0, G68&lt;&gt;0, H68&lt;&gt;0), 65, "")</f>
        <v/>
      </c>
      <c r="B68" s="52"/>
      <c r="C68" s="15"/>
      <c r="D68" s="52"/>
      <c r="E68" s="15"/>
      <c r="F68" s="15"/>
      <c r="G68" s="15"/>
      <c r="H68" s="15"/>
    </row>
    <row r="69" spans="1:8">
      <c r="A69" s="11" t="str">
        <f>IF(OR(B69&lt;&gt;0, C69&lt;&gt;0, D69&lt;&gt;0, E69&lt;&gt;0, F69&lt;&gt;0, G69&lt;&gt;0, H69&lt;&gt;0), 66, "")</f>
        <v/>
      </c>
      <c r="B69" s="52"/>
      <c r="C69" s="15"/>
      <c r="D69" s="52"/>
      <c r="E69" s="15"/>
      <c r="F69" s="15"/>
      <c r="G69" s="15"/>
      <c r="H69" s="15"/>
    </row>
    <row r="70" spans="1:8">
      <c r="A70" s="11" t="str">
        <f>IF(OR(B70&lt;&gt;0, C70&lt;&gt;0, D70&lt;&gt;0, E70&lt;&gt;0, F70&lt;&gt;0, G70&lt;&gt;0, H70&lt;&gt;0), 67, "")</f>
        <v/>
      </c>
      <c r="B70" s="52"/>
      <c r="C70" s="15"/>
      <c r="D70" s="52"/>
      <c r="E70" s="15"/>
      <c r="F70" s="15"/>
      <c r="G70" s="15"/>
      <c r="H70" s="15"/>
    </row>
    <row r="71" spans="1:8">
      <c r="A71" s="11" t="str">
        <f>IF(OR(B71&lt;&gt;0, C71&lt;&gt;0, D71&lt;&gt;0, E71&lt;&gt;0, F71&lt;&gt;0, G71&lt;&gt;0, H71&lt;&gt;0), 68, "")</f>
        <v/>
      </c>
      <c r="B71" s="52"/>
      <c r="C71" s="15"/>
      <c r="D71" s="52"/>
      <c r="E71" s="15"/>
      <c r="F71" s="15"/>
      <c r="G71" s="15"/>
      <c r="H71" s="15"/>
    </row>
    <row r="72" spans="1:8">
      <c r="A72" s="11" t="str">
        <f>IF(OR(B72&lt;&gt;0, C72&lt;&gt;0, D72&lt;&gt;0, E72&lt;&gt;0, F72&lt;&gt;0, G72&lt;&gt;0, H72&lt;&gt;0), 69, "")</f>
        <v/>
      </c>
      <c r="B72" s="52"/>
      <c r="C72" s="15"/>
      <c r="D72" s="52"/>
      <c r="E72" s="15"/>
      <c r="F72" s="15"/>
      <c r="G72" s="15"/>
      <c r="H72" s="15"/>
    </row>
    <row r="73" spans="1:8">
      <c r="A73" s="11" t="str">
        <f>IF(OR(B73&lt;&gt;0, C73&lt;&gt;0, D73&lt;&gt;0, E73&lt;&gt;0, F73&lt;&gt;0, G73&lt;&gt;0, H73&lt;&gt;0), 70, "")</f>
        <v/>
      </c>
      <c r="B73" s="52"/>
      <c r="C73" s="15"/>
      <c r="D73" s="52"/>
      <c r="E73" s="15"/>
      <c r="F73" s="15"/>
      <c r="G73" s="15"/>
      <c r="H73" s="15"/>
    </row>
    <row r="74" spans="1:8">
      <c r="A74" s="11" t="str">
        <f>IF(OR(B74&lt;&gt;0, C74&lt;&gt;0, D74&lt;&gt;0, E74&lt;&gt;0, F74&lt;&gt;0, G74&lt;&gt;0, H74&lt;&gt;0), 71, "")</f>
        <v/>
      </c>
      <c r="B74" s="52"/>
      <c r="C74" s="15"/>
      <c r="D74" s="52"/>
      <c r="E74" s="15"/>
      <c r="F74" s="15"/>
      <c r="G74" s="15"/>
      <c r="H74" s="15"/>
    </row>
    <row r="75" spans="1:8">
      <c r="A75" s="11" t="str">
        <f>IF(OR(B75&lt;&gt;0, C75&lt;&gt;0, D75&lt;&gt;0, E75&lt;&gt;0, F75&lt;&gt;0, G75&lt;&gt;0, H75&lt;&gt;0), 72, "")</f>
        <v/>
      </c>
      <c r="B75" s="52"/>
      <c r="C75" s="15"/>
      <c r="D75" s="52"/>
      <c r="E75" s="15"/>
      <c r="F75" s="15"/>
      <c r="G75" s="15"/>
      <c r="H75" s="15"/>
    </row>
  </sheetData>
  <sheetProtection selectLockedCells="1"/>
  <mergeCells count="1">
    <mergeCell ref="A1:H1"/>
  </mergeCells>
  <conditionalFormatting sqref="B4:F75 H4:H75">
    <cfRule type="cellIs" dxfId="6" priority="3" operator="greaterThan">
      <formula>0</formula>
    </cfRule>
  </conditionalFormatting>
  <conditionalFormatting sqref="A4:A75">
    <cfRule type="cellIs" dxfId="5" priority="2" operator="between">
      <formula>0</formula>
      <formula>72</formula>
    </cfRule>
  </conditionalFormatting>
  <conditionalFormatting sqref="G4:G75">
    <cfRule type="cellIs" dxfId="4" priority="1" operator="greaterThan">
      <formula>0</formula>
    </cfRule>
  </conditionalFormatting>
  <dataValidations count="1">
    <dataValidation type="list" allowBlank="1" showInputMessage="1" showErrorMessage="1" sqref="G4:G75">
      <formula1>"Гран-При, Диплом (лауреата) I степени, Диплом (лауреата) II степени, Диплом (лауреата) III степени, Дипломант, Специальные награды"</formula1>
    </dataValidation>
  </dataValidations>
  <pageMargins left="0.70866141732283472" right="0.70866141732283472" top="0.74803149606299213" bottom="0.74803149606299213" header="0.31496062992125984" footer="0.31496062992125984"/>
  <pageSetup paperSize="9" orientation="landscape" r:id="rId1"/>
  <headerFooter>
    <oddHeader>&amp;R&amp;"Times New Roman,обычный"&amp;10Анализ деятельности образовательного учреждения культурыпо итогам 2020-2021 учебного года</oddHeader>
    <oddFooter>&amp;C&amp;P</oddFooter>
  </headerFooter>
  <legacyDrawing r:id="rId2"/>
</worksheet>
</file>

<file path=xl/worksheets/sheet19.xml><?xml version="1.0" encoding="utf-8"?>
<worksheet xmlns="http://schemas.openxmlformats.org/spreadsheetml/2006/main" xmlns:r="http://schemas.openxmlformats.org/officeDocument/2006/relationships">
  <dimension ref="A1:H75"/>
  <sheetViews>
    <sheetView showWhiteSpace="0" view="pageLayout" workbookViewId="0">
      <selection activeCell="G12" sqref="G12"/>
    </sheetView>
  </sheetViews>
  <sheetFormatPr defaultRowHeight="12.75"/>
  <cols>
    <col min="1" max="1" width="3.85546875" style="9" customWidth="1"/>
    <col min="2" max="2" width="34.7109375" style="9" customWidth="1"/>
    <col min="3" max="3" width="11.28515625" style="9" customWidth="1"/>
    <col min="4" max="4" width="17.28515625" style="9" customWidth="1"/>
    <col min="5" max="5" width="14.7109375" style="9" customWidth="1"/>
    <col min="6" max="6" width="18.7109375" style="9" customWidth="1"/>
    <col min="7" max="7" width="11.5703125" style="9" customWidth="1"/>
    <col min="8" max="8" width="18.7109375" style="9" customWidth="1"/>
    <col min="9" max="16384" width="9.140625" style="9"/>
  </cols>
  <sheetData>
    <row r="1" spans="1:8" ht="31.5" customHeight="1">
      <c r="A1" s="133" t="s">
        <v>161</v>
      </c>
      <c r="B1" s="133"/>
      <c r="C1" s="133"/>
      <c r="D1" s="133"/>
      <c r="E1" s="133"/>
      <c r="F1" s="133"/>
      <c r="G1" s="133"/>
      <c r="H1" s="133"/>
    </row>
    <row r="3" spans="1:8" ht="25.5">
      <c r="A3" s="39" t="s">
        <v>23</v>
      </c>
      <c r="B3" s="39" t="s">
        <v>143</v>
      </c>
      <c r="C3" s="39" t="s">
        <v>144</v>
      </c>
      <c r="D3" s="39" t="s">
        <v>145</v>
      </c>
      <c r="E3" s="39" t="s">
        <v>146</v>
      </c>
      <c r="F3" s="39" t="s">
        <v>147</v>
      </c>
      <c r="G3" s="39" t="s">
        <v>148</v>
      </c>
      <c r="H3" s="39" t="s">
        <v>149</v>
      </c>
    </row>
    <row r="4" spans="1:8" ht="63.75">
      <c r="A4" s="11">
        <f>IF(OR(B4&lt;&gt;0, C4&lt;&gt;0, D4&lt;&gt;0, E4&lt;&gt;0, F4&lt;&gt;0, G4&lt;&gt;0, H4&lt;&gt;0), 1, "")</f>
        <v>1</v>
      </c>
      <c r="B4" s="52" t="s">
        <v>304</v>
      </c>
      <c r="C4" s="15" t="s">
        <v>305</v>
      </c>
      <c r="D4" s="52" t="s">
        <v>171</v>
      </c>
      <c r="E4" s="15" t="s">
        <v>50</v>
      </c>
      <c r="F4" s="15" t="s">
        <v>560</v>
      </c>
      <c r="G4" s="15" t="s">
        <v>306</v>
      </c>
      <c r="H4" s="15" t="s">
        <v>307</v>
      </c>
    </row>
    <row r="5" spans="1:8" ht="76.5">
      <c r="A5" s="11">
        <f>IF(OR(B5&lt;&gt;0, C5&lt;&gt;0, D5&lt;&gt;0, E5&lt;&gt;0, F5&lt;&gt;0, G5&lt;&gt;0, H5&lt;&gt;0), 2, "")</f>
        <v>2</v>
      </c>
      <c r="B5" s="52" t="s">
        <v>304</v>
      </c>
      <c r="C5" s="15" t="s">
        <v>305</v>
      </c>
      <c r="D5" s="52" t="s">
        <v>171</v>
      </c>
      <c r="E5" s="15" t="s">
        <v>308</v>
      </c>
      <c r="F5" s="15" t="s">
        <v>543</v>
      </c>
      <c r="G5" s="15" t="s">
        <v>306</v>
      </c>
      <c r="H5" s="15" t="s">
        <v>307</v>
      </c>
    </row>
    <row r="6" spans="1:8" ht="76.5">
      <c r="A6" s="11">
        <f>IF(OR(B6&lt;&gt;0, C6&lt;&gt;0, D6&lt;&gt;0, E6&lt;&gt;0, F6&lt;&gt;0, G6&lt;&gt;0, H6&lt;&gt;0), 3, "")</f>
        <v>3</v>
      </c>
      <c r="B6" s="52" t="s">
        <v>534</v>
      </c>
      <c r="C6" s="15" t="s">
        <v>535</v>
      </c>
      <c r="D6" s="52" t="s">
        <v>334</v>
      </c>
      <c r="E6" s="15" t="s">
        <v>308</v>
      </c>
      <c r="F6" s="15" t="s">
        <v>561</v>
      </c>
      <c r="G6" s="15" t="s">
        <v>335</v>
      </c>
      <c r="H6" s="15" t="s">
        <v>307</v>
      </c>
    </row>
    <row r="7" spans="1:8" ht="51">
      <c r="A7" s="11">
        <f>IF(OR(B7&lt;&gt;0, C7&lt;&gt;0, D7&lt;&gt;0, E7&lt;&gt;0, F7&lt;&gt;0, G7&lt;&gt;0, H7&lt;&gt;0), 4, "")</f>
        <v>4</v>
      </c>
      <c r="B7" s="52" t="s">
        <v>346</v>
      </c>
      <c r="C7" s="97">
        <v>44317</v>
      </c>
      <c r="D7" s="52" t="s">
        <v>328</v>
      </c>
      <c r="E7" s="15" t="s">
        <v>338</v>
      </c>
      <c r="F7" s="15" t="s">
        <v>344</v>
      </c>
      <c r="G7" s="15" t="s">
        <v>303</v>
      </c>
      <c r="H7" s="15" t="s">
        <v>345</v>
      </c>
    </row>
    <row r="8" spans="1:8" ht="25.5">
      <c r="A8" s="11">
        <f>IF(OR(B8&lt;&gt;0, C8&lt;&gt;0, D8&lt;&gt;0, E8&lt;&gt;0, F8&lt;&gt;0, G8&lt;&gt;0, H8&lt;&gt;0), 5, "")</f>
        <v>5</v>
      </c>
      <c r="B8" s="52" t="s">
        <v>376</v>
      </c>
      <c r="C8" s="15" t="s">
        <v>377</v>
      </c>
      <c r="D8" s="52" t="s">
        <v>378</v>
      </c>
      <c r="E8" s="15" t="s">
        <v>65</v>
      </c>
      <c r="F8" s="15" t="s">
        <v>358</v>
      </c>
      <c r="G8" s="15" t="s">
        <v>379</v>
      </c>
      <c r="H8" s="15" t="s">
        <v>220</v>
      </c>
    </row>
    <row r="9" spans="1:8" ht="25.5">
      <c r="A9" s="11">
        <f>IF(OR(B9&lt;&gt;0, C9&lt;&gt;0, D9&lt;&gt;0, E9&lt;&gt;0, F9&lt;&gt;0, G9&lt;&gt;0, H9&lt;&gt;0), 6, "")</f>
        <v>6</v>
      </c>
      <c r="B9" s="52" t="s">
        <v>376</v>
      </c>
      <c r="C9" s="15" t="s">
        <v>377</v>
      </c>
      <c r="D9" s="52" t="s">
        <v>378</v>
      </c>
      <c r="E9" s="15" t="s">
        <v>65</v>
      </c>
      <c r="F9" s="15" t="s">
        <v>546</v>
      </c>
      <c r="G9" s="15" t="s">
        <v>335</v>
      </c>
      <c r="H9" s="15" t="s">
        <v>220</v>
      </c>
    </row>
    <row r="10" spans="1:8" ht="51">
      <c r="A10" s="11">
        <f>IF(OR(B10&lt;&gt;0, C10&lt;&gt;0, D10&lt;&gt;0, E10&lt;&gt;0, F10&lt;&gt;0, G10&lt;&gt;0, H10&lt;&gt;0), 7, "")</f>
        <v>7</v>
      </c>
      <c r="B10" s="52" t="s">
        <v>565</v>
      </c>
      <c r="C10" s="97">
        <v>44228</v>
      </c>
      <c r="D10" s="52" t="s">
        <v>171</v>
      </c>
      <c r="E10" s="15" t="s">
        <v>67</v>
      </c>
      <c r="F10" s="15" t="s">
        <v>312</v>
      </c>
      <c r="G10" s="15"/>
      <c r="H10" s="15" t="s">
        <v>314</v>
      </c>
    </row>
    <row r="11" spans="1:8" ht="102">
      <c r="A11" s="11">
        <f>IF(OR(B11&lt;&gt;0, C11&lt;&gt;0, D11&lt;&gt;0, E11&lt;&gt;0, F11&lt;&gt;0, G11&lt;&gt;0, H11&lt;&gt;0), 8, "")</f>
        <v>8</v>
      </c>
      <c r="B11" s="52" t="s">
        <v>536</v>
      </c>
      <c r="C11" s="13">
        <v>44171</v>
      </c>
      <c r="D11" s="52" t="s">
        <v>537</v>
      </c>
      <c r="E11" s="15" t="s">
        <v>538</v>
      </c>
      <c r="F11" s="15" t="s">
        <v>563</v>
      </c>
      <c r="G11" s="15"/>
      <c r="H11" s="15" t="s">
        <v>368</v>
      </c>
    </row>
    <row r="12" spans="1:8" ht="51">
      <c r="A12" s="11">
        <f>IF(OR(B12&lt;&gt;0, C12&lt;&gt;0, D12&lt;&gt;0, E12&lt;&gt;0, F12&lt;&gt;0, G12&lt;&gt;0, H12&lt;&gt;0), 9, "")</f>
        <v>9</v>
      </c>
      <c r="B12" s="52" t="s">
        <v>539</v>
      </c>
      <c r="C12" s="15" t="s">
        <v>540</v>
      </c>
      <c r="D12" s="52" t="s">
        <v>171</v>
      </c>
      <c r="E12" s="15" t="s">
        <v>453</v>
      </c>
      <c r="F12" s="15" t="s">
        <v>562</v>
      </c>
      <c r="G12" s="15"/>
      <c r="H12" s="15" t="s">
        <v>541</v>
      </c>
    </row>
    <row r="13" spans="1:8">
      <c r="A13" s="11" t="str">
        <f>IF(OR(B13&lt;&gt;0, C13&lt;&gt;0, D13&lt;&gt;0, E13&lt;&gt;0, F13&lt;&gt;0, G13&lt;&gt;0, H13&lt;&gt;0), 10, "")</f>
        <v/>
      </c>
      <c r="B13" s="52"/>
      <c r="C13" s="15"/>
      <c r="D13" s="52"/>
      <c r="E13" s="15"/>
      <c r="F13" s="15"/>
      <c r="G13" s="15"/>
      <c r="H13" s="15"/>
    </row>
    <row r="14" spans="1:8">
      <c r="A14" s="11" t="str">
        <f>IF(OR(B14&lt;&gt;0, C14&lt;&gt;0, D14&lt;&gt;0, E14&lt;&gt;0, F14&lt;&gt;0, G14&lt;&gt;0, H14&lt;&gt;0), 11, "")</f>
        <v/>
      </c>
      <c r="B14" s="52"/>
      <c r="C14" s="15"/>
      <c r="D14" s="52"/>
      <c r="E14" s="15"/>
      <c r="F14" s="15"/>
      <c r="G14" s="15"/>
      <c r="H14" s="15"/>
    </row>
    <row r="15" spans="1:8">
      <c r="A15" s="11" t="str">
        <f>IF(OR(B15&lt;&gt;0, C15&lt;&gt;0, D15&lt;&gt;0, E15&lt;&gt;0, F15&lt;&gt;0, G15&lt;&gt;0, H15&lt;&gt;0), 12, "")</f>
        <v/>
      </c>
      <c r="B15" s="52"/>
      <c r="C15" s="15"/>
      <c r="D15" s="52"/>
      <c r="E15" s="15"/>
      <c r="F15" s="15"/>
      <c r="G15" s="15"/>
      <c r="H15" s="15"/>
    </row>
    <row r="16" spans="1:8">
      <c r="A16" s="11" t="str">
        <f>IF(OR(B16&lt;&gt;0, C16&lt;&gt;0, D16&lt;&gt;0, E16&lt;&gt;0, F16&lt;&gt;0, G16&lt;&gt;0, H16&lt;&gt;0), 13, "")</f>
        <v/>
      </c>
      <c r="B16" s="52"/>
      <c r="C16" s="15"/>
      <c r="D16" s="52"/>
      <c r="E16" s="15"/>
      <c r="F16" s="15"/>
      <c r="G16" s="15"/>
      <c r="H16" s="15"/>
    </row>
    <row r="17" spans="1:8">
      <c r="A17" s="11" t="str">
        <f>IF(OR(B17&lt;&gt;0, C17&lt;&gt;0, D17&lt;&gt;0, E17&lt;&gt;0, F17&lt;&gt;0, G17&lt;&gt;0, H17&lt;&gt;0), 14, "")</f>
        <v/>
      </c>
      <c r="B17" s="52"/>
      <c r="C17" s="15"/>
      <c r="D17" s="52"/>
      <c r="E17" s="15"/>
      <c r="F17" s="15"/>
      <c r="G17" s="15"/>
      <c r="H17" s="15"/>
    </row>
    <row r="18" spans="1:8">
      <c r="A18" s="11" t="str">
        <f>IF(OR(B18&lt;&gt;0, C18&lt;&gt;0, D18&lt;&gt;0, E18&lt;&gt;0, F18&lt;&gt;0, G18&lt;&gt;0, H18&lt;&gt;0), 15, "")</f>
        <v/>
      </c>
      <c r="B18" s="52"/>
      <c r="C18" s="15"/>
      <c r="D18" s="52"/>
      <c r="E18" s="15"/>
      <c r="F18" s="15"/>
      <c r="G18" s="15"/>
      <c r="H18" s="15"/>
    </row>
    <row r="19" spans="1:8">
      <c r="A19" s="11" t="str">
        <f>IF(OR(B19&lt;&gt;0, C19&lt;&gt;0, D19&lt;&gt;0, E19&lt;&gt;0, F19&lt;&gt;0, G19&lt;&gt;0, H19&lt;&gt;0), 16, "")</f>
        <v/>
      </c>
      <c r="B19" s="52"/>
      <c r="C19" s="15"/>
      <c r="D19" s="52"/>
      <c r="E19" s="15"/>
      <c r="F19" s="15"/>
      <c r="G19" s="15"/>
      <c r="H19" s="15"/>
    </row>
    <row r="20" spans="1:8">
      <c r="A20" s="11" t="str">
        <f>IF(OR(B20&lt;&gt;0,C20&lt;&gt;0,D20&lt;&gt;0,E20&lt;&gt;0,F20&lt;&gt;0,G20&lt;&gt;0,H20&lt;&gt;0),17,"")</f>
        <v/>
      </c>
      <c r="B20" s="52"/>
      <c r="C20" s="15"/>
      <c r="D20" s="52"/>
      <c r="E20" s="15"/>
      <c r="F20" s="15"/>
      <c r="G20" s="15"/>
      <c r="H20" s="15"/>
    </row>
    <row r="21" spans="1:8">
      <c r="A21" s="11" t="str">
        <f>IF(OR(B21&lt;&gt;0, C21&lt;&gt;0, D21&lt;&gt;0, E21&lt;&gt;0, F21&lt;&gt;0, G21&lt;&gt;0, H21&lt;&gt;0), 18, "")</f>
        <v/>
      </c>
      <c r="B21" s="52"/>
      <c r="C21" s="15"/>
      <c r="D21" s="52"/>
      <c r="E21" s="15"/>
      <c r="F21" s="15"/>
      <c r="G21" s="15"/>
      <c r="H21" s="15"/>
    </row>
    <row r="22" spans="1:8">
      <c r="A22" s="11" t="str">
        <f>IF(OR(B22&lt;&gt;0, C22&lt;&gt;0, D22&lt;&gt;0, E22&lt;&gt;0, F22&lt;&gt;0, G22&lt;&gt;0, H22&lt;&gt;0), 19, "")</f>
        <v/>
      </c>
      <c r="B22" s="52"/>
      <c r="C22" s="15"/>
      <c r="D22" s="52"/>
      <c r="E22" s="15"/>
      <c r="F22" s="15"/>
      <c r="G22" s="15"/>
      <c r="H22" s="15"/>
    </row>
    <row r="23" spans="1:8">
      <c r="A23" s="11" t="str">
        <f>IF(OR(B23&lt;&gt;0, C23&lt;&gt;0, D23&lt;&gt;0, E23&lt;&gt;0, F23&lt;&gt;0, G23&lt;&gt;0, H23&lt;&gt;0), 20, "")</f>
        <v/>
      </c>
      <c r="B23" s="52"/>
      <c r="C23" s="15"/>
      <c r="D23" s="52"/>
      <c r="E23" s="15"/>
      <c r="F23" s="15"/>
      <c r="G23" s="15"/>
      <c r="H23" s="15"/>
    </row>
    <row r="24" spans="1:8">
      <c r="A24" s="11" t="str">
        <f>IF(OR(B24&lt;&gt;0, C24&lt;&gt;0, D24&lt;&gt;0, E24&lt;&gt;0, F24&lt;&gt;0, G24&lt;&gt;0, H24&lt;&gt;0), 21, "")</f>
        <v/>
      </c>
      <c r="B24" s="52"/>
      <c r="C24" s="15"/>
      <c r="D24" s="52"/>
      <c r="E24" s="15"/>
      <c r="F24" s="15"/>
      <c r="G24" s="15"/>
      <c r="H24" s="15"/>
    </row>
    <row r="25" spans="1:8">
      <c r="A25" s="11" t="str">
        <f>IF(OR(B25&lt;&gt;0, C25&lt;&gt;0, D25&lt;&gt;0, E25&lt;&gt;0, F25&lt;&gt;0, G25&lt;&gt;0, H25&lt;&gt;0), 22, "")</f>
        <v/>
      </c>
      <c r="B25" s="52"/>
      <c r="C25" s="15"/>
      <c r="D25" s="52"/>
      <c r="E25" s="15"/>
      <c r="F25" s="15"/>
      <c r="G25" s="15"/>
      <c r="H25" s="15"/>
    </row>
    <row r="26" spans="1:8">
      <c r="A26" s="11" t="str">
        <f>IF(OR(B26&lt;&gt;0, C26&lt;&gt;0, D26&lt;&gt;0, E26&lt;&gt;0, F26&lt;&gt;0, G26&lt;&gt;0, H26&lt;&gt;0), 23, "")</f>
        <v/>
      </c>
      <c r="B26" s="52"/>
      <c r="C26" s="15"/>
      <c r="D26" s="52"/>
      <c r="E26" s="15"/>
      <c r="F26" s="15"/>
      <c r="G26" s="15"/>
      <c r="H26" s="15"/>
    </row>
    <row r="27" spans="1:8">
      <c r="A27" s="11" t="str">
        <f>IF(OR(B27&lt;&gt;0, C27&lt;&gt;0, D27&lt;&gt;0, E27&lt;&gt;0, F27&lt;&gt;0, G27&lt;&gt;0, H27&lt;&gt;0), 24, "")</f>
        <v/>
      </c>
      <c r="B27" s="52"/>
      <c r="C27" s="15"/>
      <c r="D27" s="52"/>
      <c r="E27" s="15"/>
      <c r="F27" s="15"/>
      <c r="G27" s="15"/>
      <c r="H27" s="15"/>
    </row>
    <row r="28" spans="1:8">
      <c r="A28" s="11" t="str">
        <f>IF(OR(B28&lt;&gt;0, C28&lt;&gt;0, D28&lt;&gt;0, E28&lt;&gt;0, F28&lt;&gt;0, G28&lt;&gt;0, H28&lt;&gt;0), 25, "")</f>
        <v/>
      </c>
      <c r="B28" s="52"/>
      <c r="C28" s="15"/>
      <c r="D28" s="52"/>
      <c r="E28" s="15"/>
      <c r="F28" s="15"/>
      <c r="G28" s="15"/>
      <c r="H28" s="15"/>
    </row>
    <row r="29" spans="1:8">
      <c r="A29" s="11" t="str">
        <f>IF(OR(B29&lt;&gt;0, C29&lt;&gt;0, D29&lt;&gt;0, E29&lt;&gt;0, F29&lt;&gt;0, G29&lt;&gt;0, H29&lt;&gt;0), 26, "")</f>
        <v/>
      </c>
      <c r="B29" s="52"/>
      <c r="C29" s="15"/>
      <c r="D29" s="52"/>
      <c r="E29" s="15"/>
      <c r="F29" s="15"/>
      <c r="G29" s="15"/>
      <c r="H29" s="15"/>
    </row>
    <row r="30" spans="1:8">
      <c r="A30" s="11" t="str">
        <f>IF(OR(B30&lt;&gt;0, C30&lt;&gt;0, D30&lt;&gt;0, E30&lt;&gt;0, F30&lt;&gt;0, G30&lt;&gt;0, H30&lt;&gt;0), 27, "")</f>
        <v/>
      </c>
      <c r="B30" s="52"/>
      <c r="C30" s="15"/>
      <c r="D30" s="52"/>
      <c r="E30" s="15"/>
      <c r="F30" s="15"/>
      <c r="G30" s="15"/>
      <c r="H30" s="15"/>
    </row>
    <row r="31" spans="1:8">
      <c r="A31" s="11" t="str">
        <f>IF(OR(B31&lt;&gt;0, C31&lt;&gt;0, D31&lt;&gt;0, E31&lt;&gt;0, F31&lt;&gt;0, G31&lt;&gt;0, H31&lt;&gt;0), 28, "")</f>
        <v/>
      </c>
      <c r="B31" s="52"/>
      <c r="C31" s="15"/>
      <c r="D31" s="52"/>
      <c r="E31" s="15"/>
      <c r="F31" s="15"/>
      <c r="G31" s="15"/>
      <c r="H31" s="15"/>
    </row>
    <row r="32" spans="1:8">
      <c r="A32" s="11" t="str">
        <f>IF(OR(B32&lt;&gt;0, C32&lt;&gt;0, D32&lt;&gt;0, E32&lt;&gt;0, F32&lt;&gt;0, G32&lt;&gt;0, H32&lt;&gt;0), 29, "")</f>
        <v/>
      </c>
      <c r="B32" s="52"/>
      <c r="C32" s="15"/>
      <c r="D32" s="52"/>
      <c r="E32" s="15"/>
      <c r="F32" s="15"/>
      <c r="G32" s="15"/>
      <c r="H32" s="15"/>
    </row>
    <row r="33" spans="1:8">
      <c r="A33" s="11" t="str">
        <f>IF(OR(B33&lt;&gt;0, C33&lt;&gt;0, D33&lt;&gt;0, E33&lt;&gt;0, F33&lt;&gt;0, G33&lt;&gt;0, H33&lt;&gt;0), 30, "")</f>
        <v/>
      </c>
      <c r="B33" s="52"/>
      <c r="C33" s="15"/>
      <c r="D33" s="52"/>
      <c r="E33" s="15"/>
      <c r="F33" s="15"/>
      <c r="G33" s="15"/>
      <c r="H33" s="15"/>
    </row>
    <row r="34" spans="1:8">
      <c r="A34" s="11" t="str">
        <f>IF(OR(B34&lt;&gt;0, C34&lt;&gt;0, D34&lt;&gt;0, E34&lt;&gt;0, F34&lt;&gt;0, G34&lt;&gt;0, H34&lt;&gt;0), 31, "")</f>
        <v/>
      </c>
      <c r="B34" s="52"/>
      <c r="C34" s="15"/>
      <c r="D34" s="52"/>
      <c r="E34" s="15"/>
      <c r="F34" s="15"/>
      <c r="G34" s="15"/>
      <c r="H34" s="15"/>
    </row>
    <row r="35" spans="1:8">
      <c r="A35" s="11" t="str">
        <f>IF(OR(B35&lt;&gt;0, C35&lt;&gt;0, D35&lt;&gt;0, E35&lt;&gt;0, F35&lt;&gt;0, G35&lt;&gt;0, H35&lt;&gt;0), 32, "")</f>
        <v/>
      </c>
      <c r="B35" s="52"/>
      <c r="C35" s="15"/>
      <c r="D35" s="52"/>
      <c r="E35" s="15"/>
      <c r="F35" s="15"/>
      <c r="G35" s="15"/>
      <c r="H35" s="15"/>
    </row>
    <row r="36" spans="1:8">
      <c r="A36" s="11" t="str">
        <f>IF(OR(B36&lt;&gt;0, C36&lt;&gt;0, D36&lt;&gt;0, E36&lt;&gt;0, F36&lt;&gt;0, G36&lt;&gt;0, H36&lt;&gt;0), 33, "")</f>
        <v/>
      </c>
      <c r="B36" s="52"/>
      <c r="C36" s="15"/>
      <c r="D36" s="52"/>
      <c r="E36" s="15"/>
      <c r="F36" s="15"/>
      <c r="G36" s="15"/>
      <c r="H36" s="15"/>
    </row>
    <row r="37" spans="1:8">
      <c r="A37" s="11" t="str">
        <f>IF(OR(B37&lt;&gt;0, C37&lt;&gt;0, D37&lt;&gt;0, E37&lt;&gt;0, F37&lt;&gt;0, G37&lt;&gt;0, H37&lt;&gt;0), 34, "")</f>
        <v/>
      </c>
      <c r="B37" s="52"/>
      <c r="C37" s="15"/>
      <c r="D37" s="52"/>
      <c r="E37" s="15"/>
      <c r="F37" s="15"/>
      <c r="G37" s="15"/>
      <c r="H37" s="15"/>
    </row>
    <row r="38" spans="1:8">
      <c r="A38" s="11" t="str">
        <f>IF(OR(B38&lt;&gt;0, C38&lt;&gt;0, D38&lt;&gt;0, E38&lt;&gt;0, F38&lt;&gt;0, G38&lt;&gt;0, H38&lt;&gt;0), 35, "")</f>
        <v/>
      </c>
      <c r="B38" s="52"/>
      <c r="C38" s="15"/>
      <c r="D38" s="52"/>
      <c r="E38" s="15"/>
      <c r="F38" s="15"/>
      <c r="G38" s="15"/>
      <c r="H38" s="15"/>
    </row>
    <row r="39" spans="1:8">
      <c r="A39" s="11" t="str">
        <f>IF(OR(B39&lt;&gt;0, C39&lt;&gt;0, D39&lt;&gt;0, E39&lt;&gt;0, F39&lt;&gt;0, G39&lt;&gt;0, H39&lt;&gt;0), 36, "")</f>
        <v/>
      </c>
      <c r="B39" s="52"/>
      <c r="C39" s="15"/>
      <c r="D39" s="52"/>
      <c r="E39" s="15"/>
      <c r="F39" s="15"/>
      <c r="G39" s="15"/>
      <c r="H39" s="15"/>
    </row>
    <row r="40" spans="1:8">
      <c r="A40" s="11" t="str">
        <f>IF(OR(B40&lt;&gt;0, C40&lt;&gt;0, D40&lt;&gt;0, E40&lt;&gt;0, F40&lt;&gt;0, G40&lt;&gt;0, H40&lt;&gt;0), 37, "")</f>
        <v/>
      </c>
      <c r="B40" s="52"/>
      <c r="C40" s="15"/>
      <c r="D40" s="52"/>
      <c r="E40" s="15"/>
      <c r="F40" s="15"/>
      <c r="G40" s="15"/>
      <c r="H40" s="15"/>
    </row>
    <row r="41" spans="1:8">
      <c r="A41" s="11" t="str">
        <f>IF(OR(B41&lt;&gt;0, C41&lt;&gt;0, D41&lt;&gt;0, E41&lt;&gt;0, F41&lt;&gt;0, G41&lt;&gt;0, H41&lt;&gt;0), 38, "")</f>
        <v/>
      </c>
      <c r="B41" s="52"/>
      <c r="C41" s="15"/>
      <c r="D41" s="52"/>
      <c r="E41" s="15"/>
      <c r="F41" s="15"/>
      <c r="G41" s="15"/>
      <c r="H41" s="15"/>
    </row>
    <row r="42" spans="1:8">
      <c r="A42" s="11" t="str">
        <f>IF(OR(B42&lt;&gt;0, C42&lt;&gt;0, D42&lt;&gt;0, E42&lt;&gt;0, F42&lt;&gt;0, G42&lt;&gt;0, H42&lt;&gt;0), 39, "")</f>
        <v/>
      </c>
      <c r="B42" s="52"/>
      <c r="C42" s="15"/>
      <c r="D42" s="52"/>
      <c r="E42" s="15"/>
      <c r="F42" s="15"/>
      <c r="G42" s="15"/>
      <c r="H42" s="15"/>
    </row>
    <row r="43" spans="1:8">
      <c r="A43" s="11" t="str">
        <f>IF(OR(B43&lt;&gt;0, C43&lt;&gt;0, D43&lt;&gt;0, E43&lt;&gt;0, F43&lt;&gt;0, G43&lt;&gt;0, H43&lt;&gt;0), 40, "")</f>
        <v/>
      </c>
      <c r="B43" s="52"/>
      <c r="C43" s="15"/>
      <c r="D43" s="52"/>
      <c r="E43" s="15"/>
      <c r="F43" s="15"/>
      <c r="G43" s="15"/>
      <c r="H43" s="15"/>
    </row>
    <row r="44" spans="1:8">
      <c r="A44" s="11" t="str">
        <f>IF(OR(B44&lt;&gt;0, C44&lt;&gt;0, D44&lt;&gt;0, E44&lt;&gt;0, F44&lt;&gt;0, G44&lt;&gt;0, H44&lt;&gt;0), 41, "")</f>
        <v/>
      </c>
      <c r="B44" s="52"/>
      <c r="C44" s="15"/>
      <c r="D44" s="52"/>
      <c r="E44" s="15"/>
      <c r="F44" s="15"/>
      <c r="G44" s="15"/>
      <c r="H44" s="15"/>
    </row>
    <row r="45" spans="1:8">
      <c r="A45" s="11" t="str">
        <f>IF(OR(B45&lt;&gt;0, C45&lt;&gt;0, D45&lt;&gt;0, E45&lt;&gt;0, F45&lt;&gt;0, G45&lt;&gt;0, H45&lt;&gt;0), 42, "")</f>
        <v/>
      </c>
      <c r="B45" s="52"/>
      <c r="C45" s="15"/>
      <c r="D45" s="52"/>
      <c r="E45" s="15"/>
      <c r="F45" s="15"/>
      <c r="G45" s="15"/>
      <c r="H45" s="15"/>
    </row>
    <row r="46" spans="1:8">
      <c r="A46" s="11" t="str">
        <f>IF(OR(B46&lt;&gt;0, C46&lt;&gt;0, D46&lt;&gt;0, E46&lt;&gt;0, F46&lt;&gt;0, G46&lt;&gt;0, H46&lt;&gt;0), 43, "")</f>
        <v/>
      </c>
      <c r="B46" s="52"/>
      <c r="C46" s="15"/>
      <c r="D46" s="52"/>
      <c r="E46" s="15"/>
      <c r="F46" s="15"/>
      <c r="G46" s="15"/>
      <c r="H46" s="15"/>
    </row>
    <row r="47" spans="1:8">
      <c r="A47" s="11" t="str">
        <f>IF(OR(B47&lt;&gt;0, C47&lt;&gt;0, D47&lt;&gt;0, E47&lt;&gt;0, F47&lt;&gt;0, G47&lt;&gt;0, H47&lt;&gt;0), 44, "")</f>
        <v/>
      </c>
      <c r="B47" s="52"/>
      <c r="C47" s="15"/>
      <c r="D47" s="52"/>
      <c r="E47" s="15"/>
      <c r="F47" s="15"/>
      <c r="G47" s="15"/>
      <c r="H47" s="15"/>
    </row>
    <row r="48" spans="1:8">
      <c r="A48" s="11" t="str">
        <f>IF(OR(B48&lt;&gt;0, C48&lt;&gt;0, D48&lt;&gt;0, E48&lt;&gt;0, F48&lt;&gt;0, G48&lt;&gt;0, H48&lt;&gt;0), 45, "")</f>
        <v/>
      </c>
      <c r="B48" s="52"/>
      <c r="C48" s="15"/>
      <c r="D48" s="52"/>
      <c r="E48" s="15"/>
      <c r="F48" s="15"/>
      <c r="G48" s="15"/>
      <c r="H48" s="15"/>
    </row>
    <row r="49" spans="1:8">
      <c r="A49" s="11" t="str">
        <f>IF(OR(B49&lt;&gt;0, C49&lt;&gt;0, D49&lt;&gt;0, E49&lt;&gt;0, F49&lt;&gt;0, G49&lt;&gt;0, H49&lt;&gt;0), 46, "")</f>
        <v/>
      </c>
      <c r="B49" s="52"/>
      <c r="C49" s="15"/>
      <c r="D49" s="52"/>
      <c r="E49" s="15"/>
      <c r="F49" s="15"/>
      <c r="G49" s="15"/>
      <c r="H49" s="15"/>
    </row>
    <row r="50" spans="1:8">
      <c r="A50" s="11" t="str">
        <f>IF(OR(B50&lt;&gt;0, C50&lt;&gt;0, D50&lt;&gt;0, E50&lt;&gt;0, F50&lt;&gt;0, G50&lt;&gt;0, H50&lt;&gt;0), 47, "")</f>
        <v/>
      </c>
      <c r="B50" s="52"/>
      <c r="C50" s="15"/>
      <c r="D50" s="52"/>
      <c r="E50" s="15"/>
      <c r="F50" s="15"/>
      <c r="G50" s="15"/>
      <c r="H50" s="15"/>
    </row>
    <row r="51" spans="1:8">
      <c r="A51" s="11" t="str">
        <f>IF(OR(B51&lt;&gt;0, C51&lt;&gt;0, D51&lt;&gt;0, E51&lt;&gt;0, F51&lt;&gt;0, G51&lt;&gt;0, H51&lt;&gt;0), 48, "")</f>
        <v/>
      </c>
      <c r="B51" s="52"/>
      <c r="C51" s="15"/>
      <c r="D51" s="52"/>
      <c r="E51" s="15"/>
      <c r="F51" s="15"/>
      <c r="G51" s="15"/>
      <c r="H51" s="15"/>
    </row>
    <row r="52" spans="1:8">
      <c r="A52" s="11" t="str">
        <f>IF(OR(B52&lt;&gt;0, C52&lt;&gt;0, D52&lt;&gt;0, E52&lt;&gt;0, F52&lt;&gt;0, G52&lt;&gt;0, H52&lt;&gt;0), 49, "")</f>
        <v/>
      </c>
      <c r="B52" s="52"/>
      <c r="C52" s="15"/>
      <c r="D52" s="52"/>
      <c r="E52" s="15"/>
      <c r="F52" s="15"/>
      <c r="G52" s="15"/>
      <c r="H52" s="15"/>
    </row>
    <row r="53" spans="1:8">
      <c r="A53" s="11" t="str">
        <f>IF(OR(B53&lt;&gt;0, C53&lt;&gt;0, D53&lt;&gt;0, E53&lt;&gt;0, F53&lt;&gt;0, G53&lt;&gt;0, H53&lt;&gt;0), 50, "")</f>
        <v/>
      </c>
      <c r="B53" s="52"/>
      <c r="C53" s="15"/>
      <c r="D53" s="52"/>
      <c r="E53" s="15"/>
      <c r="F53" s="15"/>
      <c r="G53" s="15"/>
      <c r="H53" s="15"/>
    </row>
    <row r="54" spans="1:8">
      <c r="A54" s="11" t="str">
        <f>IF(OR(B54&lt;&gt;0, C54&lt;&gt;0, D54&lt;&gt;0, E54&lt;&gt;0, F54&lt;&gt;0, G54&lt;&gt;0, H54&lt;&gt;0), 51, "")</f>
        <v/>
      </c>
      <c r="B54" s="52"/>
      <c r="C54" s="15"/>
      <c r="D54" s="52"/>
      <c r="E54" s="15"/>
      <c r="F54" s="15"/>
      <c r="G54" s="15"/>
      <c r="H54" s="15"/>
    </row>
    <row r="55" spans="1:8">
      <c r="A55" s="11" t="str">
        <f>IF(OR(B55&lt;&gt;0, C55&lt;&gt;0, D55&lt;&gt;0, E55&lt;&gt;0, F55&lt;&gt;0, G55&lt;&gt;0, H55&lt;&gt;0), 52, "")</f>
        <v/>
      </c>
      <c r="B55" s="52"/>
      <c r="C55" s="15"/>
      <c r="D55" s="52"/>
      <c r="E55" s="15"/>
      <c r="F55" s="15"/>
      <c r="G55" s="15"/>
      <c r="H55" s="15"/>
    </row>
    <row r="56" spans="1:8">
      <c r="A56" s="11" t="str">
        <f>IF(OR(B56&lt;&gt;0, C56&lt;&gt;0, D56&lt;&gt;0, E56&lt;&gt;0, F56&lt;&gt;0, G56&lt;&gt;0, H56&lt;&gt;0), 53, "")</f>
        <v/>
      </c>
      <c r="B56" s="52"/>
      <c r="C56" s="15"/>
      <c r="D56" s="52"/>
      <c r="E56" s="15"/>
      <c r="F56" s="15"/>
      <c r="G56" s="15"/>
      <c r="H56" s="15"/>
    </row>
    <row r="57" spans="1:8">
      <c r="A57" s="11" t="str">
        <f>IF(OR(B57&lt;&gt;0, C57&lt;&gt;0, D57&lt;&gt;0, E57&lt;&gt;0, F57&lt;&gt;0, G57&lt;&gt;0, H57&lt;&gt;0), 54, "")</f>
        <v/>
      </c>
      <c r="B57" s="52"/>
      <c r="C57" s="15"/>
      <c r="D57" s="52"/>
      <c r="E57" s="15"/>
      <c r="F57" s="15"/>
      <c r="G57" s="15"/>
      <c r="H57" s="15"/>
    </row>
    <row r="58" spans="1:8">
      <c r="A58" s="11" t="str">
        <f>IF(OR(B58&lt;&gt;0, C58&lt;&gt;0, D58&lt;&gt;0, E58&lt;&gt;0, F58&lt;&gt;0, G58&lt;&gt;0, H58&lt;&gt;0), 55, "")</f>
        <v/>
      </c>
      <c r="B58" s="52"/>
      <c r="C58" s="15"/>
      <c r="D58" s="52"/>
      <c r="E58" s="15"/>
      <c r="F58" s="15"/>
      <c r="G58" s="15"/>
      <c r="H58" s="15"/>
    </row>
    <row r="59" spans="1:8">
      <c r="A59" s="11" t="str">
        <f>IF(OR(B59&lt;&gt;0, C59&lt;&gt;0, D59&lt;&gt;0, E59&lt;&gt;0, F59&lt;&gt;0, G59&lt;&gt;0, H59&lt;&gt;0), 56, "")</f>
        <v/>
      </c>
      <c r="B59" s="52"/>
      <c r="C59" s="15"/>
      <c r="D59" s="52"/>
      <c r="E59" s="15"/>
      <c r="F59" s="15"/>
      <c r="G59" s="15"/>
      <c r="H59" s="15"/>
    </row>
    <row r="60" spans="1:8">
      <c r="A60" s="11" t="str">
        <f>IF(OR(B60&lt;&gt;0, C60&lt;&gt;0, D60&lt;&gt;0, E60&lt;&gt;0, F60&lt;&gt;0, G60&lt;&gt;0, H60&lt;&gt;0), 57, "")</f>
        <v/>
      </c>
      <c r="B60" s="52"/>
      <c r="C60" s="15"/>
      <c r="D60" s="52"/>
      <c r="E60" s="15"/>
      <c r="F60" s="15"/>
      <c r="G60" s="15"/>
      <c r="H60" s="15"/>
    </row>
    <row r="61" spans="1:8">
      <c r="A61" s="11" t="str">
        <f>IF(OR(B61&lt;&gt;0, C61&lt;&gt;0, D61&lt;&gt;0, E61&lt;&gt;0, F61&lt;&gt;0, G61&lt;&gt;0, H61&lt;&gt;0), 58, "")</f>
        <v/>
      </c>
      <c r="B61" s="52"/>
      <c r="C61" s="15"/>
      <c r="D61" s="52"/>
      <c r="E61" s="15"/>
      <c r="F61" s="15"/>
      <c r="G61" s="15"/>
      <c r="H61" s="15"/>
    </row>
    <row r="62" spans="1:8">
      <c r="A62" s="11" t="str">
        <f>IF(OR(B62&lt;&gt;0, C62&lt;&gt;0, D62&lt;&gt;0, E62&lt;&gt;0, F62&lt;&gt;0, G62&lt;&gt;0, H62&lt;&gt;0), 59, "")</f>
        <v/>
      </c>
      <c r="B62" s="52"/>
      <c r="C62" s="15"/>
      <c r="D62" s="52"/>
      <c r="E62" s="15"/>
      <c r="F62" s="15"/>
      <c r="G62" s="15"/>
      <c r="H62" s="15"/>
    </row>
    <row r="63" spans="1:8">
      <c r="A63" s="11" t="str">
        <f>IF(OR(B63&lt;&gt;0, C63&lt;&gt;0, D63&lt;&gt;0, E63&lt;&gt;0, F63&lt;&gt;0, G63&lt;&gt;0, H63&lt;&gt;0), 60, "")</f>
        <v/>
      </c>
      <c r="B63" s="52"/>
      <c r="C63" s="15"/>
      <c r="D63" s="52"/>
      <c r="E63" s="15"/>
      <c r="F63" s="15"/>
      <c r="G63" s="15"/>
      <c r="H63" s="15"/>
    </row>
    <row r="64" spans="1:8">
      <c r="A64" s="11" t="str">
        <f>IF(OR(B64&lt;&gt;0, C64&lt;&gt;0, D64&lt;&gt;0, E64&lt;&gt;0, F64&lt;&gt;0, G64&lt;&gt;0, H64&lt;&gt;0), 61, "")</f>
        <v/>
      </c>
      <c r="B64" s="52"/>
      <c r="C64" s="15"/>
      <c r="D64" s="52"/>
      <c r="E64" s="15"/>
      <c r="F64" s="15"/>
      <c r="G64" s="15"/>
      <c r="H64" s="15"/>
    </row>
    <row r="65" spans="1:8">
      <c r="A65" s="11" t="str">
        <f>IF(OR(B65&lt;&gt;0, C65&lt;&gt;0, D65&lt;&gt;0, E65&lt;&gt;0, F65&lt;&gt;0, G65&lt;&gt;0, H65&lt;&gt;0), 62, "")</f>
        <v/>
      </c>
      <c r="B65" s="52"/>
      <c r="C65" s="15"/>
      <c r="D65" s="52"/>
      <c r="E65" s="15"/>
      <c r="F65" s="15"/>
      <c r="G65" s="15"/>
      <c r="H65" s="15"/>
    </row>
    <row r="66" spans="1:8">
      <c r="A66" s="11" t="str">
        <f>IF(OR(B66&lt;&gt;0, C66&lt;&gt;0, D66&lt;&gt;0, E66&lt;&gt;0, F66&lt;&gt;0, G66&lt;&gt;0, H66&lt;&gt;0), 63, "")</f>
        <v/>
      </c>
      <c r="B66" s="52"/>
      <c r="C66" s="15"/>
      <c r="D66" s="52"/>
      <c r="E66" s="15"/>
      <c r="F66" s="15"/>
      <c r="G66" s="15"/>
      <c r="H66" s="15"/>
    </row>
    <row r="67" spans="1:8">
      <c r="A67" s="11" t="str">
        <f>IF(OR(B67&lt;&gt;0, C67&lt;&gt;0, D67&lt;&gt;0, E67&lt;&gt;0, F67&lt;&gt;0, G67&lt;&gt;0, H67&lt;&gt;0), 64, "")</f>
        <v/>
      </c>
      <c r="B67" s="52"/>
      <c r="C67" s="15"/>
      <c r="D67" s="52"/>
      <c r="E67" s="15"/>
      <c r="F67" s="15"/>
      <c r="G67" s="15"/>
      <c r="H67" s="15"/>
    </row>
    <row r="68" spans="1:8">
      <c r="A68" s="11" t="str">
        <f>IF(OR(B68&lt;&gt;0, C68&lt;&gt;0, D68&lt;&gt;0, E68&lt;&gt;0, F68&lt;&gt;0, G68&lt;&gt;0, H68&lt;&gt;0), 65, "")</f>
        <v/>
      </c>
      <c r="B68" s="52"/>
      <c r="C68" s="15"/>
      <c r="D68" s="52"/>
      <c r="E68" s="15"/>
      <c r="F68" s="15"/>
      <c r="G68" s="15"/>
      <c r="H68" s="15"/>
    </row>
    <row r="69" spans="1:8">
      <c r="A69" s="11" t="str">
        <f>IF(OR(B69&lt;&gt;0, C69&lt;&gt;0, D69&lt;&gt;0, E69&lt;&gt;0, F69&lt;&gt;0, G69&lt;&gt;0, H69&lt;&gt;0), 66, "")</f>
        <v/>
      </c>
      <c r="B69" s="52"/>
      <c r="C69" s="15"/>
      <c r="D69" s="52"/>
      <c r="E69" s="15"/>
      <c r="F69" s="15"/>
      <c r="G69" s="15"/>
      <c r="H69" s="15"/>
    </row>
    <row r="70" spans="1:8">
      <c r="A70" s="11" t="str">
        <f>IF(OR(B70&lt;&gt;0, C70&lt;&gt;0, D70&lt;&gt;0, E70&lt;&gt;0, F70&lt;&gt;0, G70&lt;&gt;0, H70&lt;&gt;0), 67, "")</f>
        <v/>
      </c>
      <c r="B70" s="52"/>
      <c r="C70" s="15"/>
      <c r="D70" s="52"/>
      <c r="E70" s="15"/>
      <c r="F70" s="15"/>
      <c r="G70" s="15"/>
      <c r="H70" s="15"/>
    </row>
    <row r="71" spans="1:8">
      <c r="A71" s="11" t="str">
        <f>IF(OR(B71&lt;&gt;0, C71&lt;&gt;0, D71&lt;&gt;0, E71&lt;&gt;0, F71&lt;&gt;0, G71&lt;&gt;0, H71&lt;&gt;0), 68, "")</f>
        <v/>
      </c>
      <c r="B71" s="52"/>
      <c r="C71" s="15"/>
      <c r="D71" s="52"/>
      <c r="E71" s="15"/>
      <c r="F71" s="15"/>
      <c r="G71" s="15"/>
      <c r="H71" s="15"/>
    </row>
    <row r="72" spans="1:8">
      <c r="A72" s="11" t="str">
        <f>IF(OR(B72&lt;&gt;0, C72&lt;&gt;0, D72&lt;&gt;0, E72&lt;&gt;0, F72&lt;&gt;0, G72&lt;&gt;0, H72&lt;&gt;0), 69, "")</f>
        <v/>
      </c>
      <c r="B72" s="52"/>
      <c r="C72" s="15"/>
      <c r="D72" s="52"/>
      <c r="E72" s="15"/>
      <c r="F72" s="15"/>
      <c r="G72" s="15"/>
      <c r="H72" s="15"/>
    </row>
    <row r="73" spans="1:8">
      <c r="A73" s="11" t="str">
        <f>IF(OR(B73&lt;&gt;0, C73&lt;&gt;0, D73&lt;&gt;0, E73&lt;&gt;0, F73&lt;&gt;0, G73&lt;&gt;0, H73&lt;&gt;0), 70, "")</f>
        <v/>
      </c>
      <c r="B73" s="52"/>
      <c r="C73" s="15"/>
      <c r="D73" s="52"/>
      <c r="E73" s="15"/>
      <c r="F73" s="15"/>
      <c r="G73" s="15"/>
      <c r="H73" s="15"/>
    </row>
    <row r="74" spans="1:8">
      <c r="A74" s="11" t="str">
        <f>IF(OR(B74&lt;&gt;0, C74&lt;&gt;0, D74&lt;&gt;0, E74&lt;&gt;0, F74&lt;&gt;0, G74&lt;&gt;0, H74&lt;&gt;0), 71, "")</f>
        <v/>
      </c>
      <c r="B74" s="52"/>
      <c r="C74" s="15"/>
      <c r="D74" s="52"/>
      <c r="E74" s="15"/>
      <c r="F74" s="15"/>
      <c r="G74" s="15"/>
      <c r="H74" s="15"/>
    </row>
    <row r="75" spans="1:8">
      <c r="A75" s="11" t="str">
        <f>IF(OR(B75&lt;&gt;0, C75&lt;&gt;0, D75&lt;&gt;0, E75&lt;&gt;0, F75&lt;&gt;0, G75&lt;&gt;0, H75&lt;&gt;0), 72, "")</f>
        <v/>
      </c>
      <c r="B75" s="52"/>
      <c r="C75" s="15"/>
      <c r="D75" s="52"/>
      <c r="E75" s="15"/>
      <c r="F75" s="15"/>
      <c r="G75" s="15"/>
      <c r="H75" s="15"/>
    </row>
  </sheetData>
  <sheetProtection selectLockedCells="1"/>
  <mergeCells count="1">
    <mergeCell ref="A1:H1"/>
  </mergeCells>
  <conditionalFormatting sqref="B4:H75">
    <cfRule type="cellIs" dxfId="3" priority="2" operator="greaterThan">
      <formula>0</formula>
    </cfRule>
  </conditionalFormatting>
  <conditionalFormatting sqref="A4:A75">
    <cfRule type="cellIs" dxfId="2" priority="1" operator="between">
      <formula>0</formula>
      <formula>72</formula>
    </cfRule>
  </conditionalFormatting>
  <dataValidations count="1">
    <dataValidation type="list" allowBlank="1" showInputMessage="1" showErrorMessage="1" sqref="G4:G75">
      <formula1>"Гран-При, Диплом (лауреата) I степени, Диплом (лауреата) II степени, Диплом (лауреата) III степени, Дипломант, Специальные награды"</formula1>
    </dataValidation>
  </dataValidations>
  <pageMargins left="0.70866141732283472" right="0.70866141732283472" top="0.74803149606299213" bottom="0.74803149606299213" header="0.31496062992125984" footer="0.31496062992125984"/>
  <pageSetup paperSize="9" orientation="landscape" r:id="rId1"/>
  <headerFooter>
    <oddHeader>&amp;R&amp;"Times New Roman,обычный"&amp;10Анализ деятельности образовательного учреждения культурыпо итогам 2020-2021 учебного года</oddHeader>
    <oddFooter>&amp;C&amp;P</oddFooter>
  </headerFooter>
  <legacyDrawing r:id="rId2"/>
</worksheet>
</file>

<file path=xl/worksheets/sheet2.xml><?xml version="1.0" encoding="utf-8"?>
<worksheet xmlns="http://schemas.openxmlformats.org/spreadsheetml/2006/main" xmlns:r="http://schemas.openxmlformats.org/officeDocument/2006/relationships">
  <sheetPr codeName="Лист3"/>
  <dimension ref="A1:F31"/>
  <sheetViews>
    <sheetView showWhiteSpace="0" view="pageLayout" workbookViewId="0">
      <selection activeCell="D7" sqref="D7"/>
    </sheetView>
  </sheetViews>
  <sheetFormatPr defaultRowHeight="15"/>
  <cols>
    <col min="1" max="1" width="31.140625" style="1" customWidth="1"/>
    <col min="2" max="5" width="25" style="1" customWidth="1"/>
    <col min="6" max="6" width="12" style="1" customWidth="1"/>
    <col min="7" max="16384" width="9.140625" style="1"/>
  </cols>
  <sheetData>
    <row r="1" spans="1:6" ht="15.75">
      <c r="A1" s="121" t="s">
        <v>114</v>
      </c>
      <c r="B1" s="121"/>
      <c r="C1" s="121"/>
      <c r="D1" s="121"/>
      <c r="E1" s="121"/>
      <c r="F1" s="5"/>
    </row>
    <row r="2" spans="1:6">
      <c r="A2" s="56"/>
      <c r="B2" s="56"/>
      <c r="C2" s="56"/>
      <c r="D2" s="56"/>
      <c r="E2" s="56"/>
    </row>
    <row r="3" spans="1:6" ht="75" customHeight="1">
      <c r="A3" s="122" t="s">
        <v>117</v>
      </c>
      <c r="B3" s="57" t="s">
        <v>104</v>
      </c>
      <c r="C3" s="57" t="s">
        <v>105</v>
      </c>
      <c r="D3" s="57" t="s">
        <v>106</v>
      </c>
      <c r="E3" s="57" t="s">
        <v>107</v>
      </c>
      <c r="F3" s="4"/>
    </row>
    <row r="4" spans="1:6" ht="30" customHeight="1">
      <c r="A4" s="123"/>
      <c r="B4" s="63">
        <v>0</v>
      </c>
      <c r="C4" s="63">
        <v>76</v>
      </c>
      <c r="D4" s="63">
        <v>90</v>
      </c>
      <c r="E4" s="58">
        <f>B4+C4+D4</f>
        <v>166</v>
      </c>
      <c r="F4" s="4"/>
    </row>
    <row r="5" spans="1:6">
      <c r="A5" s="59"/>
      <c r="B5" s="59"/>
      <c r="C5" s="59"/>
      <c r="D5" s="59"/>
      <c r="E5" s="59"/>
      <c r="F5" s="2"/>
    </row>
    <row r="6" spans="1:6" ht="97.5" customHeight="1">
      <c r="A6" s="120" t="s">
        <v>115</v>
      </c>
      <c r="B6" s="57" t="s">
        <v>108</v>
      </c>
      <c r="C6" s="57" t="s">
        <v>109</v>
      </c>
      <c r="D6" s="57" t="s">
        <v>110</v>
      </c>
      <c r="E6" s="57" t="s">
        <v>116</v>
      </c>
    </row>
    <row r="7" spans="1:6" ht="30" customHeight="1">
      <c r="A7" s="120"/>
      <c r="B7" s="60">
        <v>0</v>
      </c>
      <c r="C7" s="60">
        <v>18</v>
      </c>
      <c r="D7" s="60">
        <v>6</v>
      </c>
      <c r="E7" s="61">
        <f>B7+C7+D7</f>
        <v>24</v>
      </c>
      <c r="F7" s="5"/>
    </row>
    <row r="8" spans="1:6">
      <c r="A8" s="59"/>
      <c r="B8" s="59"/>
      <c r="C8" s="59"/>
      <c r="D8" s="59"/>
      <c r="E8" s="59"/>
    </row>
    <row r="9" spans="1:6" ht="75" customHeight="1">
      <c r="A9" s="120" t="s">
        <v>111</v>
      </c>
      <c r="B9" s="57" t="s">
        <v>108</v>
      </c>
      <c r="C9" s="57" t="s">
        <v>112</v>
      </c>
      <c r="D9" s="57" t="s">
        <v>110</v>
      </c>
      <c r="E9" s="57" t="s">
        <v>113</v>
      </c>
    </row>
    <row r="10" spans="1:6" ht="30" customHeight="1">
      <c r="A10" s="120"/>
      <c r="B10" s="62">
        <f>IF((B7+B4)&gt;0,B4/(B4+B7)*100,0)</f>
        <v>0</v>
      </c>
      <c r="C10" s="62">
        <f t="shared" ref="C10:E10" si="0">IF((C7+C4)&gt;0,C4/(C4+C7)*100,0)</f>
        <v>80.851063829787222</v>
      </c>
      <c r="D10" s="62">
        <f t="shared" si="0"/>
        <v>93.75</v>
      </c>
      <c r="E10" s="62">
        <f t="shared" si="0"/>
        <v>87.368421052631589</v>
      </c>
    </row>
    <row r="11" spans="1:6">
      <c r="A11" s="7"/>
    </row>
    <row r="12" spans="1:6">
      <c r="A12" s="7"/>
    </row>
    <row r="13" spans="1:6">
      <c r="A13" s="7"/>
    </row>
    <row r="14" spans="1:6">
      <c r="A14" s="7"/>
    </row>
    <row r="15" spans="1:6">
      <c r="A15" s="7"/>
    </row>
    <row r="16" spans="1:6">
      <c r="A16" s="7"/>
    </row>
    <row r="17" spans="1:1">
      <c r="A17" s="7"/>
    </row>
    <row r="18" spans="1:1">
      <c r="A18" s="7"/>
    </row>
    <row r="19" spans="1:1">
      <c r="A19" s="7"/>
    </row>
    <row r="20" spans="1:1">
      <c r="A20" s="7"/>
    </row>
    <row r="21" spans="1:1">
      <c r="A21" s="7"/>
    </row>
    <row r="22" spans="1:1">
      <c r="A22" s="7"/>
    </row>
    <row r="23" spans="1:1">
      <c r="A23" s="7"/>
    </row>
    <row r="24" spans="1:1">
      <c r="A24" s="7"/>
    </row>
    <row r="25" spans="1:1">
      <c r="A25" s="7"/>
    </row>
    <row r="26" spans="1:1">
      <c r="A26" s="7"/>
    </row>
    <row r="27" spans="1:1">
      <c r="A27" s="7"/>
    </row>
    <row r="28" spans="1:1">
      <c r="A28" s="7"/>
    </row>
    <row r="29" spans="1:1">
      <c r="A29" s="7"/>
    </row>
    <row r="30" spans="1:1">
      <c r="A30" s="7"/>
    </row>
    <row r="31" spans="1:1">
      <c r="A31" s="7"/>
    </row>
  </sheetData>
  <sheetProtection password="CC5B" sheet="1" objects="1" scenarios="1" selectLockedCells="1"/>
  <mergeCells count="4">
    <mergeCell ref="A6:A7"/>
    <mergeCell ref="A9:A10"/>
    <mergeCell ref="A1:E1"/>
    <mergeCell ref="A3:A4"/>
  </mergeCells>
  <pageMargins left="0.7" right="0.7" top="0.75" bottom="0.75" header="0.3" footer="0.3"/>
  <pageSetup paperSize="9" orientation="landscape" r:id="rId1"/>
  <headerFooter>
    <oddHeader>&amp;R&amp;"Times New Roman,обычный"&amp;10Анализ деятельности образовательного учреждения культурыпо итогам 2020-2021 учебного года</oddHeader>
    <oddFooter>&amp;C&amp;P</oddFooter>
  </headerFooter>
  <legacyDrawing r:id="rId2"/>
</worksheet>
</file>

<file path=xl/worksheets/sheet20.xml><?xml version="1.0" encoding="utf-8"?>
<worksheet xmlns="http://schemas.openxmlformats.org/spreadsheetml/2006/main" xmlns:r="http://schemas.openxmlformats.org/officeDocument/2006/relationships">
  <dimension ref="A1:J13"/>
  <sheetViews>
    <sheetView showWhiteSpace="0" view="pageLayout" workbookViewId="0">
      <selection activeCell="G19" sqref="G19"/>
    </sheetView>
  </sheetViews>
  <sheetFormatPr defaultRowHeight="12.75"/>
  <cols>
    <col min="1" max="1" width="3.85546875" style="9" customWidth="1"/>
    <col min="2" max="2" width="24.28515625" style="9" customWidth="1"/>
    <col min="3" max="3" width="20.140625" style="9" customWidth="1"/>
    <col min="4" max="4" width="12.140625" style="9" customWidth="1"/>
    <col min="5" max="5" width="11.42578125" style="9" customWidth="1"/>
    <col min="6" max="6" width="13.5703125" style="9" customWidth="1"/>
    <col min="7" max="8" width="10.7109375" style="9" customWidth="1"/>
    <col min="9" max="9" width="12" style="9" customWidth="1"/>
    <col min="10" max="10" width="12.140625" style="9" customWidth="1"/>
    <col min="11" max="16384" width="9.140625" style="9"/>
  </cols>
  <sheetData>
    <row r="1" spans="1:10" ht="15.75">
      <c r="A1" s="99" t="s">
        <v>162</v>
      </c>
      <c r="B1" s="99"/>
      <c r="C1" s="99"/>
      <c r="D1" s="99"/>
      <c r="E1" s="99"/>
      <c r="F1" s="99"/>
      <c r="G1" s="99"/>
      <c r="H1" s="99"/>
      <c r="I1" s="99"/>
      <c r="J1" s="99"/>
    </row>
    <row r="3" spans="1:10" ht="38.25">
      <c r="A3" s="39" t="s">
        <v>23</v>
      </c>
      <c r="B3" s="39" t="s">
        <v>150</v>
      </c>
      <c r="C3" s="39" t="s">
        <v>151</v>
      </c>
      <c r="D3" s="39" t="s">
        <v>152</v>
      </c>
      <c r="E3" s="39" t="s">
        <v>153</v>
      </c>
      <c r="F3" s="39" t="s">
        <v>154</v>
      </c>
      <c r="G3" s="39" t="s">
        <v>155</v>
      </c>
      <c r="H3" s="39" t="s">
        <v>142</v>
      </c>
      <c r="I3" s="39" t="s">
        <v>156</v>
      </c>
      <c r="J3" s="39" t="s">
        <v>157</v>
      </c>
    </row>
    <row r="4" spans="1:10">
      <c r="A4" s="11" t="str">
        <f>IF(OR(B4&lt;&gt;0, C4&lt;&gt;0, D4&lt;&gt;0, E4&lt;&gt;0, F4&lt;&gt;0, G4&lt;&gt;0, H4&lt;&gt;0, I4&lt;&gt;0, J4&lt;&gt;0), 1, "")</f>
        <v/>
      </c>
      <c r="B4" s="52"/>
      <c r="C4" s="52"/>
      <c r="D4" s="52"/>
      <c r="E4" s="52"/>
      <c r="F4" s="52"/>
      <c r="G4" s="15"/>
      <c r="H4" s="52"/>
      <c r="I4" s="52"/>
      <c r="J4" s="52"/>
    </row>
    <row r="5" spans="1:10">
      <c r="A5" s="11" t="str">
        <f>IF(OR(B5&lt;&gt;0, C5&lt;&gt;0, D5&lt;&gt;0, E5&lt;&gt;0, F5&lt;&gt;0, G5&lt;&gt;0, H5&lt;&gt;0, I5&lt;&gt;0, J5&lt;&gt;0), 2, "")</f>
        <v/>
      </c>
      <c r="B5" s="52"/>
      <c r="C5" s="52"/>
      <c r="D5" s="52"/>
      <c r="E5" s="52"/>
      <c r="F5" s="52"/>
      <c r="G5" s="15"/>
      <c r="H5" s="52"/>
      <c r="I5" s="52"/>
      <c r="J5" s="52"/>
    </row>
    <row r="6" spans="1:10">
      <c r="A6" s="11" t="str">
        <f>IF(OR(B6&lt;&gt;0, C6&lt;&gt;0, D6&lt;&gt;0, E6&lt;&gt;0, F6&lt;&gt;0, G6&lt;&gt;0, H6&lt;&gt;0, I6&lt;&gt;0, J6&lt;&gt;0), 3, "")</f>
        <v/>
      </c>
      <c r="B6" s="52"/>
      <c r="C6" s="52"/>
      <c r="D6" s="52"/>
      <c r="E6" s="52"/>
      <c r="F6" s="52"/>
      <c r="G6" s="15"/>
      <c r="H6" s="52"/>
      <c r="I6" s="52"/>
      <c r="J6" s="52"/>
    </row>
    <row r="7" spans="1:10">
      <c r="A7" s="11" t="str">
        <f>IF(OR(B7&lt;&gt;0, C7&lt;&gt;0, D7&lt;&gt;0, E7&lt;&gt;0, F7&lt;&gt;0, G7&lt;&gt;0, H7&lt;&gt;0, I7&lt;&gt;0, J7&lt;&gt;0), 4, "")</f>
        <v/>
      </c>
      <c r="B7" s="52"/>
      <c r="C7" s="52"/>
      <c r="D7" s="52"/>
      <c r="E7" s="52"/>
      <c r="F7" s="52"/>
      <c r="G7" s="15"/>
      <c r="H7" s="52"/>
      <c r="I7" s="52"/>
      <c r="J7" s="52"/>
    </row>
    <row r="8" spans="1:10">
      <c r="A8" s="11" t="str">
        <f>IF(OR(B8&lt;&gt;0, C8&lt;&gt;0, D8&lt;&gt;0, E8&lt;&gt;0, F8&lt;&gt;0, G8&lt;&gt;0, H8&lt;&gt;0, I8&lt;&gt;0, J8&lt;&gt;0), 5, "")</f>
        <v/>
      </c>
      <c r="B8" s="52"/>
      <c r="C8" s="52"/>
      <c r="D8" s="52"/>
      <c r="E8" s="52"/>
      <c r="F8" s="52"/>
      <c r="G8" s="15"/>
      <c r="H8" s="52"/>
      <c r="I8" s="52"/>
      <c r="J8" s="52"/>
    </row>
    <row r="9" spans="1:10">
      <c r="A9" s="11" t="str">
        <f>IF(OR(B9&lt;&gt;0, C9&lt;&gt;0, D9&lt;&gt;0, E9&lt;&gt;0, F9&lt;&gt;0, G9&lt;&gt;0, H9&lt;&gt;0, I9&lt;&gt;0, J9&lt;&gt;0), 6, "")</f>
        <v/>
      </c>
      <c r="B9" s="52"/>
      <c r="C9" s="52"/>
      <c r="D9" s="52"/>
      <c r="E9" s="52"/>
      <c r="F9" s="52"/>
      <c r="G9" s="15"/>
      <c r="H9" s="52"/>
      <c r="I9" s="52"/>
      <c r="J9" s="52"/>
    </row>
    <row r="10" spans="1:10">
      <c r="A10" s="11" t="str">
        <f>IF(OR(B10&lt;&gt;0, C10&lt;&gt;0, D10&lt;&gt;0, E10&lt;&gt;0, F10&lt;&gt;0, G10&lt;&gt;0, H10&lt;&gt;0, I10&lt;&gt;0, J10&lt;&gt;0), 7, "")</f>
        <v/>
      </c>
      <c r="B10" s="52"/>
      <c r="C10" s="52"/>
      <c r="D10" s="52"/>
      <c r="E10" s="52"/>
      <c r="F10" s="52"/>
      <c r="G10" s="15"/>
      <c r="H10" s="52"/>
      <c r="I10" s="52"/>
      <c r="J10" s="52"/>
    </row>
    <row r="11" spans="1:10">
      <c r="A11" s="11" t="str">
        <f>IF(OR(B11&lt;&gt;0, C11&lt;&gt;0, D11&lt;&gt;0, E11&lt;&gt;0, F11&lt;&gt;0, G11&lt;&gt;0, H11&lt;&gt;0, I11&lt;&gt;0, J11&lt;&gt;0), 8, "")</f>
        <v/>
      </c>
      <c r="B11" s="52"/>
      <c r="C11" s="52"/>
      <c r="D11" s="52"/>
      <c r="E11" s="52"/>
      <c r="F11" s="52"/>
      <c r="G11" s="15"/>
      <c r="H11" s="52"/>
      <c r="I11" s="52"/>
      <c r="J11" s="52"/>
    </row>
    <row r="12" spans="1:10">
      <c r="A12" s="11" t="str">
        <f>IF(OR(B12&lt;&gt;0, C12&lt;&gt;0, D12&lt;&gt;0, E12&lt;&gt;0, F12&lt;&gt;0, G12&lt;&gt;0, H12&lt;&gt;0, I12&lt;&gt;0, J12&lt;&gt;0), 9, "")</f>
        <v/>
      </c>
      <c r="B12" s="52"/>
      <c r="C12" s="52"/>
      <c r="D12" s="52"/>
      <c r="E12" s="52"/>
      <c r="F12" s="52"/>
      <c r="G12" s="15"/>
      <c r="H12" s="52"/>
      <c r="I12" s="52"/>
      <c r="J12" s="52"/>
    </row>
    <row r="13" spans="1:10">
      <c r="A13" s="11" t="str">
        <f>IF(OR(B13&lt;&gt;0, C13&lt;&gt;0, D13&lt;&gt;0, E13&lt;&gt;0, F13&lt;&gt;0, G13&lt;&gt;0, H13&lt;&gt;0, I13&lt;&gt;0, J13&lt;&gt;0), 10, "")</f>
        <v/>
      </c>
      <c r="B13" s="52"/>
      <c r="C13" s="52"/>
      <c r="D13" s="52"/>
      <c r="E13" s="52"/>
      <c r="F13" s="52"/>
      <c r="G13" s="15"/>
      <c r="H13" s="52"/>
      <c r="I13" s="52"/>
      <c r="J13" s="52"/>
    </row>
  </sheetData>
  <sheetProtection selectLockedCells="1"/>
  <mergeCells count="1">
    <mergeCell ref="A1:J1"/>
  </mergeCells>
  <conditionalFormatting sqref="A4:A13">
    <cfRule type="cellIs" dxfId="1" priority="2" operator="between">
      <formula>0</formula>
      <formula>10</formula>
    </cfRule>
  </conditionalFormatting>
  <conditionalFormatting sqref="B4:J13">
    <cfRule type="cellIs" dxfId="0" priority="1" operator="greater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&amp;R&amp;"Times New Roman,обычный"&amp;10Анализ деятельности образовательного учреждения культурыпо итогам 2020-2021 учебного года</oddHeader>
    <oddFooter>&amp;C&amp;P</oddFooter>
  </headerFooter>
  <legacyDrawing r:id="rId2"/>
</worksheet>
</file>

<file path=xl/worksheets/sheet21.xml><?xml version="1.0" encoding="utf-8"?>
<worksheet xmlns="http://schemas.openxmlformats.org/spreadsheetml/2006/main" xmlns:r="http://schemas.openxmlformats.org/officeDocument/2006/relationships">
  <dimension ref="A1:I21"/>
  <sheetViews>
    <sheetView tabSelected="1" showWhiteSpace="0" view="pageLayout" workbookViewId="0">
      <selection activeCell="D15" sqref="D15"/>
    </sheetView>
  </sheetViews>
  <sheetFormatPr defaultRowHeight="15"/>
  <cols>
    <col min="1" max="8" width="9.140625" style="1"/>
    <col min="9" max="9" width="14.28515625" style="1" customWidth="1"/>
    <col min="10" max="16384" width="9.140625" style="1"/>
  </cols>
  <sheetData>
    <row r="1" spans="1:9" ht="15.75">
      <c r="A1" s="99" t="s">
        <v>167</v>
      </c>
      <c r="B1" s="99"/>
      <c r="C1" s="99"/>
      <c r="D1" s="99"/>
      <c r="E1" s="99"/>
      <c r="F1" s="99"/>
      <c r="G1" s="99"/>
      <c r="H1" s="99"/>
      <c r="I1" s="99"/>
    </row>
    <row r="3" spans="1:9" ht="45" customHeight="1">
      <c r="A3" s="132" t="s">
        <v>163</v>
      </c>
      <c r="B3" s="132"/>
      <c r="C3" s="132"/>
      <c r="D3" s="132"/>
      <c r="E3" s="132"/>
      <c r="F3" s="132"/>
      <c r="G3" s="132"/>
      <c r="H3" s="132"/>
      <c r="I3" s="132"/>
    </row>
    <row r="5" spans="1:9" ht="15.75">
      <c r="A5" s="99" t="s">
        <v>168</v>
      </c>
      <c r="B5" s="99"/>
      <c r="C5" s="99"/>
      <c r="D5" s="99"/>
      <c r="E5" s="99"/>
      <c r="F5" s="99"/>
      <c r="G5" s="99"/>
      <c r="H5" s="99"/>
      <c r="I5" s="99"/>
    </row>
    <row r="7" spans="1:9" ht="30.75" customHeight="1">
      <c r="A7" s="135" t="s">
        <v>92</v>
      </c>
      <c r="B7" s="135"/>
      <c r="C7" s="135"/>
      <c r="D7" s="135"/>
      <c r="E7" s="135"/>
      <c r="F7" s="135"/>
      <c r="G7" s="135"/>
      <c r="H7" s="135"/>
      <c r="I7" s="135"/>
    </row>
    <row r="8" spans="1:9">
      <c r="A8" s="135" t="s">
        <v>91</v>
      </c>
      <c r="B8" s="135"/>
      <c r="C8" s="135"/>
      <c r="D8" s="135"/>
      <c r="E8" s="135"/>
      <c r="F8" s="135"/>
      <c r="G8" s="135"/>
      <c r="H8" s="135"/>
      <c r="I8" s="135"/>
    </row>
    <row r="9" spans="1:9" ht="45" customHeight="1">
      <c r="A9" s="135" t="s">
        <v>90</v>
      </c>
      <c r="B9" s="135"/>
      <c r="C9" s="135"/>
      <c r="D9" s="135"/>
      <c r="E9" s="135"/>
      <c r="F9" s="135"/>
      <c r="G9" s="135"/>
      <c r="H9" s="135"/>
      <c r="I9" s="135"/>
    </row>
    <row r="10" spans="1:9" ht="30" customHeight="1">
      <c r="A10" s="135" t="s">
        <v>89</v>
      </c>
      <c r="B10" s="135"/>
      <c r="C10" s="135"/>
      <c r="D10" s="135"/>
      <c r="E10" s="135"/>
      <c r="F10" s="135"/>
      <c r="G10" s="135"/>
      <c r="H10" s="135"/>
      <c r="I10" s="135"/>
    </row>
    <row r="11" spans="1:9" ht="30" customHeight="1">
      <c r="A11" s="135" t="s">
        <v>164</v>
      </c>
      <c r="B11" s="135"/>
      <c r="C11" s="135"/>
      <c r="D11" s="135"/>
      <c r="E11" s="135"/>
      <c r="F11" s="135"/>
      <c r="G11" s="135"/>
      <c r="H11" s="135"/>
      <c r="I11" s="135"/>
    </row>
    <row r="12" spans="1:9" ht="30" customHeight="1">
      <c r="A12" s="135" t="s">
        <v>165</v>
      </c>
      <c r="B12" s="135"/>
      <c r="C12" s="135"/>
      <c r="D12" s="135"/>
      <c r="E12" s="135"/>
      <c r="F12" s="135"/>
      <c r="G12" s="135"/>
      <c r="H12" s="135"/>
      <c r="I12" s="135"/>
    </row>
    <row r="13" spans="1:9" ht="30" customHeight="1">
      <c r="A13" s="135" t="s">
        <v>166</v>
      </c>
      <c r="B13" s="135"/>
      <c r="C13" s="135"/>
      <c r="D13" s="135"/>
      <c r="E13" s="135"/>
      <c r="F13" s="135"/>
      <c r="G13" s="135"/>
      <c r="H13" s="135"/>
      <c r="I13" s="135"/>
    </row>
    <row r="14" spans="1:9" ht="30" customHeight="1">
      <c r="A14" s="135" t="s">
        <v>170</v>
      </c>
      <c r="B14" s="135"/>
      <c r="C14" s="135"/>
      <c r="D14" s="135"/>
      <c r="E14" s="135"/>
      <c r="F14" s="135"/>
      <c r="G14" s="135"/>
      <c r="H14" s="135"/>
      <c r="I14" s="135"/>
    </row>
    <row r="16" spans="1:9" ht="15.75">
      <c r="A16" s="136" t="s">
        <v>169</v>
      </c>
      <c r="B16" s="136"/>
      <c r="C16" s="136"/>
      <c r="D16" s="136"/>
      <c r="E16" s="136"/>
      <c r="F16" s="136"/>
      <c r="G16" s="136"/>
      <c r="H16" s="136"/>
      <c r="I16" s="136"/>
    </row>
    <row r="18" spans="1:9">
      <c r="A18" s="134" t="s">
        <v>88</v>
      </c>
      <c r="B18" s="134"/>
      <c r="C18" s="134"/>
      <c r="D18" s="134"/>
      <c r="E18" s="134"/>
      <c r="F18" s="134"/>
      <c r="G18" s="134"/>
      <c r="H18" s="134"/>
      <c r="I18" s="134"/>
    </row>
    <row r="19" spans="1:9" ht="30" customHeight="1">
      <c r="A19" s="135" t="s">
        <v>86</v>
      </c>
      <c r="B19" s="135"/>
      <c r="C19" s="135"/>
      <c r="D19" s="135"/>
      <c r="E19" s="135"/>
      <c r="F19" s="135"/>
      <c r="G19" s="135"/>
      <c r="H19" s="135"/>
      <c r="I19" s="135"/>
    </row>
    <row r="20" spans="1:9" ht="30" customHeight="1">
      <c r="A20" s="135" t="s">
        <v>85</v>
      </c>
      <c r="B20" s="135"/>
      <c r="C20" s="135"/>
      <c r="D20" s="135"/>
      <c r="E20" s="135"/>
      <c r="F20" s="135"/>
      <c r="G20" s="135"/>
      <c r="H20" s="135"/>
      <c r="I20" s="135"/>
    </row>
    <row r="21" spans="1:9">
      <c r="A21" s="134" t="s">
        <v>87</v>
      </c>
      <c r="B21" s="134"/>
      <c r="C21" s="134"/>
      <c r="D21" s="134"/>
      <c r="E21" s="134"/>
      <c r="F21" s="134"/>
      <c r="G21" s="134"/>
      <c r="H21" s="134"/>
      <c r="I21" s="134"/>
    </row>
  </sheetData>
  <sheetProtection selectLockedCells="1"/>
  <mergeCells count="16">
    <mergeCell ref="A3:I3"/>
    <mergeCell ref="A1:I1"/>
    <mergeCell ref="A5:I5"/>
    <mergeCell ref="A7:I7"/>
    <mergeCell ref="A8:I8"/>
    <mergeCell ref="A18:I18"/>
    <mergeCell ref="A19:I19"/>
    <mergeCell ref="A20:I20"/>
    <mergeCell ref="A21:I21"/>
    <mergeCell ref="A9:I9"/>
    <mergeCell ref="A10:I10"/>
    <mergeCell ref="A11:I11"/>
    <mergeCell ref="A13:I13"/>
    <mergeCell ref="A16:I16"/>
    <mergeCell ref="A12:I12"/>
    <mergeCell ref="A14:I14"/>
  </mergeCells>
  <pageMargins left="0.7" right="0.7" top="0.75" bottom="0.75" header="0.3" footer="0.3"/>
  <pageSetup paperSize="9" orientation="portrait" r:id="rId1"/>
  <headerFooter>
    <oddHeader>&amp;R&amp;"Times New Roman,обычный"&amp;10Анализ деятельности образовательного учреждения культурыпо итогам 2020-2021 учебного года</oddHeader>
    <oddFooter>&amp;C&amp;P</oddFooter>
  </headerFooter>
</worksheet>
</file>

<file path=xl/worksheets/sheet2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J61"/>
  <sheetViews>
    <sheetView showWhiteSpace="0" view="pageLayout" workbookViewId="0">
      <selection activeCell="D8" sqref="D8"/>
    </sheetView>
  </sheetViews>
  <sheetFormatPr defaultRowHeight="15"/>
  <cols>
    <col min="1" max="1" width="4.28515625" style="56" customWidth="1"/>
    <col min="2" max="2" width="40" style="56" customWidth="1"/>
    <col min="3" max="3" width="50.7109375" style="56" customWidth="1"/>
    <col min="4" max="4" width="35.7109375" style="56" customWidth="1"/>
    <col min="5" max="5" width="10.140625" style="56" customWidth="1"/>
    <col min="6" max="6" width="10.85546875" style="56" customWidth="1"/>
    <col min="7" max="8" width="9.7109375" style="56" customWidth="1"/>
    <col min="9" max="10" width="12" style="56" customWidth="1"/>
    <col min="11" max="16384" width="9.140625" style="56"/>
  </cols>
  <sheetData>
    <row r="1" spans="1:10" ht="15.75">
      <c r="A1" s="121" t="s">
        <v>121</v>
      </c>
      <c r="B1" s="121"/>
      <c r="C1" s="121"/>
      <c r="D1" s="121"/>
      <c r="E1" s="64"/>
      <c r="F1" s="64"/>
      <c r="G1" s="64"/>
      <c r="H1" s="65"/>
      <c r="I1" s="65"/>
      <c r="J1" s="65"/>
    </row>
    <row r="2" spans="1:10" ht="15.75">
      <c r="A2" s="66"/>
      <c r="B2" s="66"/>
      <c r="C2" s="66"/>
      <c r="D2" s="66"/>
      <c r="E2" s="65"/>
      <c r="F2" s="65"/>
      <c r="G2" s="65"/>
      <c r="H2" s="65"/>
      <c r="I2" s="65"/>
      <c r="J2" s="65"/>
    </row>
    <row r="3" spans="1:10" ht="15.75">
      <c r="A3" s="67">
        <v>0</v>
      </c>
      <c r="B3" s="124" t="s">
        <v>119</v>
      </c>
      <c r="C3" s="124"/>
      <c r="D3" s="124"/>
      <c r="E3" s="64"/>
      <c r="F3" s="64"/>
      <c r="G3" s="64"/>
      <c r="H3" s="65"/>
      <c r="I3" s="65"/>
      <c r="J3" s="65"/>
    </row>
    <row r="4" spans="1:10" ht="15.75">
      <c r="A4" s="67">
        <v>0</v>
      </c>
      <c r="B4" s="124" t="s">
        <v>120</v>
      </c>
      <c r="C4" s="124"/>
      <c r="D4" s="124"/>
      <c r="E4" s="64"/>
      <c r="F4" s="64"/>
      <c r="G4" s="64"/>
      <c r="H4" s="65"/>
      <c r="I4" s="65"/>
      <c r="J4" s="65"/>
    </row>
    <row r="6" spans="1:10">
      <c r="A6" s="68" t="s">
        <v>3</v>
      </c>
      <c r="B6" s="69" t="s">
        <v>118</v>
      </c>
      <c r="C6" s="69" t="s">
        <v>2</v>
      </c>
      <c r="D6" s="70" t="s">
        <v>1</v>
      </c>
      <c r="E6" s="59"/>
    </row>
    <row r="7" spans="1:10" ht="15" customHeight="1">
      <c r="A7" s="71" t="str">
        <f>IF(1&lt;=A3+A4,1,"")</f>
        <v/>
      </c>
      <c r="B7" s="53" t="s">
        <v>174</v>
      </c>
      <c r="C7" s="53" t="s">
        <v>171</v>
      </c>
      <c r="D7" s="53" t="s">
        <v>172</v>
      </c>
      <c r="E7" s="72"/>
    </row>
    <row r="8" spans="1:10">
      <c r="A8" s="71" t="str">
        <f>IF(A7&lt;A3+A4,2,"")</f>
        <v/>
      </c>
      <c r="B8" s="54" t="s">
        <v>175</v>
      </c>
      <c r="C8" s="54" t="s">
        <v>173</v>
      </c>
      <c r="D8" s="54" t="s">
        <v>179</v>
      </c>
      <c r="E8" s="72"/>
    </row>
    <row r="9" spans="1:10">
      <c r="A9" s="71" t="str">
        <f>IF(A8&lt;A3+A4,3,"")</f>
        <v/>
      </c>
      <c r="B9" s="54"/>
      <c r="C9" s="54"/>
      <c r="D9" s="54"/>
      <c r="E9" s="72"/>
    </row>
    <row r="10" spans="1:10">
      <c r="A10" s="71" t="str">
        <f>IF(A9&lt;A3+A4,4,"")</f>
        <v/>
      </c>
      <c r="B10" s="54"/>
      <c r="C10" s="54"/>
      <c r="D10" s="54"/>
      <c r="E10" s="72"/>
    </row>
    <row r="11" spans="1:10">
      <c r="A11" s="71" t="str">
        <f>IF(A10&lt;A3+A4,5,"")</f>
        <v/>
      </c>
      <c r="B11" s="54"/>
      <c r="C11" s="54"/>
      <c r="D11" s="54"/>
      <c r="E11" s="72"/>
    </row>
    <row r="12" spans="1:10">
      <c r="A12" s="71" t="str">
        <f>IF(A11&lt;A3+A4,6,"")</f>
        <v/>
      </c>
      <c r="B12" s="54"/>
      <c r="C12" s="54"/>
      <c r="D12" s="54"/>
      <c r="E12" s="72"/>
    </row>
    <row r="13" spans="1:10">
      <c r="A13" s="38" t="str">
        <f>IF(A12&lt;A3+A4,7,"")</f>
        <v/>
      </c>
      <c r="B13" s="54"/>
      <c r="C13" s="54"/>
      <c r="D13" s="54"/>
      <c r="E13" s="72"/>
    </row>
    <row r="14" spans="1:10">
      <c r="A14" s="38" t="str">
        <f>IF(A13&lt;A3+A4,8,"")</f>
        <v/>
      </c>
      <c r="B14" s="52"/>
      <c r="C14" s="52"/>
      <c r="D14" s="52"/>
      <c r="E14" s="72"/>
    </row>
    <row r="15" spans="1:10">
      <c r="A15" s="38" t="str">
        <f>IF(A14&lt;A3+A4,9,"")</f>
        <v/>
      </c>
      <c r="B15" s="52"/>
      <c r="C15" s="52"/>
      <c r="D15" s="52"/>
      <c r="E15" s="72"/>
    </row>
    <row r="16" spans="1:10">
      <c r="A16" s="38" t="str">
        <f>IF(A15&lt;A3+A4,10,"")</f>
        <v/>
      </c>
      <c r="B16" s="52"/>
      <c r="C16" s="52"/>
      <c r="D16" s="52"/>
      <c r="E16" s="72"/>
    </row>
    <row r="17" spans="1:5">
      <c r="A17" s="38" t="str">
        <f>IF(A16&lt;A3+A4,11,"")</f>
        <v/>
      </c>
      <c r="B17" s="52"/>
      <c r="C17" s="52"/>
      <c r="D17" s="52"/>
      <c r="E17" s="72"/>
    </row>
    <row r="18" spans="1:5">
      <c r="A18" s="38" t="str">
        <f>IF(A17&lt;A3+A4,12,"")</f>
        <v/>
      </c>
      <c r="B18" s="52"/>
      <c r="C18" s="52"/>
      <c r="D18" s="52"/>
      <c r="E18" s="72"/>
    </row>
    <row r="19" spans="1:5">
      <c r="A19" s="38" t="str">
        <f>IF(A18&lt;A3+A4,13,"")</f>
        <v/>
      </c>
      <c r="B19" s="52"/>
      <c r="C19" s="52"/>
      <c r="D19" s="52"/>
      <c r="E19" s="72"/>
    </row>
    <row r="20" spans="1:5">
      <c r="A20" s="38" t="str">
        <f>IF(A19&lt;A3+A4,14,"")</f>
        <v/>
      </c>
      <c r="B20" s="52"/>
      <c r="C20" s="52"/>
      <c r="D20" s="52"/>
      <c r="E20" s="72"/>
    </row>
    <row r="21" spans="1:5">
      <c r="A21" s="38" t="str">
        <f>IF(A20&lt;A3+A4,15,"")</f>
        <v/>
      </c>
      <c r="B21" s="52"/>
      <c r="C21" s="52"/>
      <c r="D21" s="52"/>
      <c r="E21" s="72"/>
    </row>
    <row r="22" spans="1:5">
      <c r="A22" s="38" t="str">
        <f>IF(A21&lt;A3+A4,16,"")</f>
        <v/>
      </c>
      <c r="B22" s="52"/>
      <c r="C22" s="52"/>
      <c r="D22" s="52"/>
      <c r="E22" s="72"/>
    </row>
    <row r="23" spans="1:5">
      <c r="A23" s="38" t="str">
        <f>IF(A22&lt;A3+A4,17,"")</f>
        <v/>
      </c>
      <c r="B23" s="52"/>
      <c r="C23" s="52"/>
      <c r="D23" s="52"/>
      <c r="E23" s="72"/>
    </row>
    <row r="24" spans="1:5">
      <c r="A24" s="38" t="str">
        <f>IF(A23&lt;A3+A4,18,"")</f>
        <v/>
      </c>
      <c r="B24" s="52"/>
      <c r="C24" s="52"/>
      <c r="D24" s="52"/>
      <c r="E24" s="72"/>
    </row>
    <row r="25" spans="1:5">
      <c r="A25" s="38" t="str">
        <f>IF(A24&lt;A3+A4,19,"")</f>
        <v/>
      </c>
      <c r="B25" s="52"/>
      <c r="C25" s="52"/>
      <c r="D25" s="52"/>
      <c r="E25" s="72"/>
    </row>
    <row r="26" spans="1:5">
      <c r="A26" s="38" t="str">
        <f>IF(A25&lt;A3+A4,20,"")</f>
        <v/>
      </c>
      <c r="B26" s="52"/>
      <c r="C26" s="52"/>
      <c r="D26" s="52"/>
      <c r="E26" s="72"/>
    </row>
    <row r="27" spans="1:5">
      <c r="A27" s="38" t="str">
        <f>IF(A26&lt;A3+A4,21,"")</f>
        <v/>
      </c>
      <c r="B27" s="52"/>
      <c r="C27" s="52"/>
      <c r="D27" s="52"/>
      <c r="E27" s="72"/>
    </row>
    <row r="28" spans="1:5">
      <c r="A28" s="38" t="str">
        <f>IF(A27&lt;A3+A4,22,"")</f>
        <v/>
      </c>
      <c r="B28" s="52"/>
      <c r="C28" s="52"/>
      <c r="D28" s="52"/>
      <c r="E28" s="72"/>
    </row>
    <row r="29" spans="1:5">
      <c r="A29" s="38" t="str">
        <f>IF(A28&lt;A3+A4,23,"")</f>
        <v/>
      </c>
      <c r="B29" s="52"/>
      <c r="C29" s="52"/>
      <c r="D29" s="52"/>
    </row>
    <row r="30" spans="1:5">
      <c r="A30" s="38" t="str">
        <f>IF(A29&lt;A3+A4,24,"")</f>
        <v/>
      </c>
      <c r="B30" s="52"/>
      <c r="C30" s="52"/>
      <c r="D30" s="52"/>
    </row>
    <row r="31" spans="1:5">
      <c r="A31" s="38" t="str">
        <f>IF(A30&lt;A3+A4,25,"")</f>
        <v/>
      </c>
      <c r="B31" s="52"/>
      <c r="C31" s="52"/>
      <c r="D31" s="52"/>
    </row>
    <row r="32" spans="1:5">
      <c r="A32" s="59"/>
      <c r="B32" s="59"/>
      <c r="C32" s="59"/>
      <c r="D32" s="59"/>
    </row>
    <row r="33" spans="1:4">
      <c r="A33" s="59"/>
      <c r="B33" s="59"/>
      <c r="C33" s="59"/>
      <c r="D33" s="59"/>
    </row>
    <row r="34" spans="1:4">
      <c r="A34" s="59"/>
      <c r="B34" s="59"/>
      <c r="C34" s="59"/>
      <c r="D34" s="59"/>
    </row>
    <row r="35" spans="1:4">
      <c r="A35" s="59"/>
      <c r="B35" s="59"/>
      <c r="C35" s="59"/>
      <c r="D35" s="59"/>
    </row>
    <row r="36" spans="1:4">
      <c r="A36" s="59"/>
      <c r="B36" s="59"/>
      <c r="C36" s="59"/>
      <c r="D36" s="59"/>
    </row>
    <row r="37" spans="1:4">
      <c r="A37" s="59"/>
      <c r="B37" s="59"/>
      <c r="C37" s="59"/>
      <c r="D37" s="59"/>
    </row>
    <row r="38" spans="1:4">
      <c r="A38" s="59"/>
      <c r="B38" s="59"/>
      <c r="C38" s="59"/>
      <c r="D38" s="59"/>
    </row>
    <row r="39" spans="1:4">
      <c r="A39" s="59"/>
      <c r="B39" s="59"/>
      <c r="C39" s="59"/>
      <c r="D39" s="59"/>
    </row>
    <row r="40" spans="1:4">
      <c r="A40" s="59"/>
      <c r="B40" s="59"/>
      <c r="C40" s="59"/>
      <c r="D40" s="59"/>
    </row>
    <row r="41" spans="1:4">
      <c r="A41" s="59"/>
      <c r="B41" s="59"/>
      <c r="C41" s="59"/>
      <c r="D41" s="59"/>
    </row>
    <row r="42" spans="1:4">
      <c r="A42" s="59"/>
      <c r="B42" s="59"/>
      <c r="C42" s="59"/>
      <c r="D42" s="59"/>
    </row>
    <row r="43" spans="1:4">
      <c r="A43" s="59"/>
      <c r="B43" s="59"/>
      <c r="C43" s="59"/>
      <c r="D43" s="59"/>
    </row>
    <row r="44" spans="1:4">
      <c r="A44" s="59"/>
      <c r="B44" s="59"/>
      <c r="C44" s="59"/>
      <c r="D44" s="59"/>
    </row>
    <row r="45" spans="1:4">
      <c r="A45" s="59"/>
      <c r="B45" s="59"/>
      <c r="C45" s="59"/>
      <c r="D45" s="59"/>
    </row>
    <row r="46" spans="1:4">
      <c r="A46" s="59"/>
      <c r="B46" s="59"/>
      <c r="C46" s="59"/>
      <c r="D46" s="59"/>
    </row>
    <row r="47" spans="1:4">
      <c r="A47" s="59"/>
      <c r="B47" s="59"/>
      <c r="C47" s="59"/>
      <c r="D47" s="59"/>
    </row>
    <row r="48" spans="1:4">
      <c r="A48" s="59"/>
      <c r="B48" s="59"/>
      <c r="C48" s="59"/>
      <c r="D48" s="59"/>
    </row>
    <row r="49" spans="1:4">
      <c r="A49" s="59"/>
      <c r="B49" s="59"/>
      <c r="C49" s="59"/>
      <c r="D49" s="59"/>
    </row>
    <row r="50" spans="1:4">
      <c r="A50" s="59"/>
      <c r="B50" s="59"/>
      <c r="C50" s="59"/>
      <c r="D50" s="59"/>
    </row>
    <row r="51" spans="1:4">
      <c r="A51" s="59"/>
      <c r="B51" s="59"/>
      <c r="C51" s="59"/>
      <c r="D51" s="59"/>
    </row>
    <row r="52" spans="1:4">
      <c r="A52" s="59"/>
      <c r="B52" s="59"/>
      <c r="C52" s="59"/>
      <c r="D52" s="59"/>
    </row>
    <row r="53" spans="1:4">
      <c r="A53" s="59"/>
      <c r="B53" s="59"/>
      <c r="C53" s="59"/>
      <c r="D53" s="59"/>
    </row>
    <row r="54" spans="1:4">
      <c r="A54" s="59"/>
      <c r="B54" s="59"/>
      <c r="C54" s="59"/>
      <c r="D54" s="59"/>
    </row>
    <row r="55" spans="1:4">
      <c r="A55" s="59"/>
      <c r="B55" s="59"/>
      <c r="C55" s="59"/>
      <c r="D55" s="59"/>
    </row>
    <row r="56" spans="1:4">
      <c r="A56" s="59"/>
      <c r="B56" s="59"/>
      <c r="C56" s="59"/>
      <c r="D56" s="59"/>
    </row>
    <row r="57" spans="1:4">
      <c r="A57" s="59"/>
      <c r="B57" s="59"/>
      <c r="C57" s="59"/>
      <c r="D57" s="59"/>
    </row>
    <row r="58" spans="1:4">
      <c r="A58" s="59"/>
      <c r="B58" s="59"/>
      <c r="C58" s="59"/>
      <c r="D58" s="59"/>
    </row>
    <row r="59" spans="1:4">
      <c r="A59" s="59"/>
      <c r="B59" s="59"/>
      <c r="C59" s="59"/>
      <c r="D59" s="59"/>
    </row>
    <row r="60" spans="1:4">
      <c r="A60" s="59"/>
      <c r="B60" s="59"/>
      <c r="C60" s="59"/>
      <c r="D60" s="59"/>
    </row>
    <row r="61" spans="1:4">
      <c r="A61" s="59"/>
      <c r="B61" s="59"/>
      <c r="C61" s="59"/>
      <c r="D61" s="59"/>
    </row>
  </sheetData>
  <sheetProtection selectLockedCells="1"/>
  <mergeCells count="3">
    <mergeCell ref="A1:D1"/>
    <mergeCell ref="B3:D3"/>
    <mergeCell ref="B4:D4"/>
  </mergeCells>
  <conditionalFormatting sqref="C6">
    <cfRule type="cellIs" dxfId="41" priority="4" operator="greaterThan">
      <formula>0</formula>
    </cfRule>
  </conditionalFormatting>
  <conditionalFormatting sqref="D6">
    <cfRule type="cellIs" dxfId="40" priority="3" operator="greaterThan">
      <formula>0</formula>
    </cfRule>
  </conditionalFormatting>
  <conditionalFormatting sqref="A7:A31">
    <cfRule type="cellIs" dxfId="39" priority="2" operator="between">
      <formula>1</formula>
      <formula>25</formula>
    </cfRule>
  </conditionalFormatting>
  <conditionalFormatting sqref="B7:D31">
    <cfRule type="cellIs" dxfId="38" priority="1" operator="greaterThan">
      <formula>0</formula>
    </cfRule>
  </conditionalFormatting>
  <dataValidations count="1">
    <dataValidation type="whole" operator="lessThanOrEqual" allowBlank="1" showInputMessage="1" showErrorMessage="1" sqref="A3:A4">
      <formula1>50</formula1>
    </dataValidation>
  </dataValidations>
  <pageMargins left="0.7" right="0.7" top="0.75" bottom="0.75" header="0.3" footer="0.3"/>
  <pageSetup paperSize="9" orientation="landscape" r:id="rId1"/>
  <headerFooter>
    <oddHeader>&amp;R&amp;"Times New Roman,обычный"&amp;10Анализ деятельности образовательного учреждения культурыпо итогам 2020-2021 учебного года</oddHeader>
    <oddFooter>&amp;C&amp;P</oddFooter>
  </headerFooter>
</worksheet>
</file>

<file path=xl/worksheets/sheet4.xml><?xml version="1.0" encoding="utf-8"?>
<worksheet xmlns="http://schemas.openxmlformats.org/spreadsheetml/2006/main" xmlns:r="http://schemas.openxmlformats.org/officeDocument/2006/relationships">
  <dimension ref="A1:G36"/>
  <sheetViews>
    <sheetView showWhiteSpace="0" view="pageLayout" workbookViewId="0">
      <selection activeCell="E7" sqref="E7"/>
    </sheetView>
  </sheetViews>
  <sheetFormatPr defaultRowHeight="15"/>
  <cols>
    <col min="1" max="1" width="3.28515625" customWidth="1"/>
    <col min="2" max="2" width="16.42578125" customWidth="1"/>
    <col min="3" max="3" width="9" customWidth="1"/>
    <col min="4" max="4" width="14.7109375" customWidth="1"/>
    <col min="5" max="5" width="45.85546875" customWidth="1"/>
    <col min="6" max="6" width="11.42578125" customWidth="1"/>
    <col min="7" max="7" width="30.140625" customWidth="1"/>
  </cols>
  <sheetData>
    <row r="1" spans="1:7" ht="15.75">
      <c r="A1" s="99" t="s">
        <v>95</v>
      </c>
      <c r="B1" s="99"/>
      <c r="C1" s="99"/>
      <c r="D1" s="99"/>
      <c r="E1" s="99"/>
      <c r="F1" s="99"/>
      <c r="G1" s="99"/>
    </row>
    <row r="2" spans="1:7" ht="12.75" customHeight="1">
      <c r="A2" s="9"/>
      <c r="B2" s="9"/>
      <c r="C2" s="9"/>
      <c r="D2" s="9"/>
      <c r="E2" s="9"/>
      <c r="F2" s="9"/>
      <c r="G2" s="9"/>
    </row>
    <row r="3" spans="1:7">
      <c r="A3" s="125" t="s">
        <v>31</v>
      </c>
      <c r="B3" s="125"/>
      <c r="C3" s="125"/>
      <c r="D3" s="8">
        <v>3</v>
      </c>
      <c r="E3" s="10"/>
      <c r="F3" s="10"/>
      <c r="G3" s="10"/>
    </row>
    <row r="4" spans="1:7" ht="12.75" customHeight="1">
      <c r="A4" s="9"/>
      <c r="B4" s="9"/>
      <c r="C4" s="9"/>
      <c r="D4" s="9"/>
      <c r="E4" s="9"/>
      <c r="F4" s="9"/>
      <c r="G4" s="9"/>
    </row>
    <row r="5" spans="1:7" ht="63" customHeight="1">
      <c r="A5" s="39" t="s">
        <v>23</v>
      </c>
      <c r="B5" s="39" t="s">
        <v>24</v>
      </c>
      <c r="C5" s="39" t="s">
        <v>25</v>
      </c>
      <c r="D5" s="39" t="s">
        <v>32</v>
      </c>
      <c r="E5" s="39" t="s">
        <v>93</v>
      </c>
      <c r="F5" s="39" t="s">
        <v>26</v>
      </c>
      <c r="G5" s="39" t="s">
        <v>28</v>
      </c>
    </row>
    <row r="6" spans="1:7" ht="127.5">
      <c r="A6" s="11">
        <f>IF(1&lt;=D3,1,"")</f>
        <v>1</v>
      </c>
      <c r="B6" s="52" t="s">
        <v>186</v>
      </c>
      <c r="C6" s="13">
        <v>24895</v>
      </c>
      <c r="D6" s="15" t="s">
        <v>187</v>
      </c>
      <c r="E6" s="52" t="s">
        <v>288</v>
      </c>
      <c r="F6" s="13">
        <v>44144</v>
      </c>
      <c r="G6" s="73"/>
    </row>
    <row r="7" spans="1:7" ht="76.5">
      <c r="A7" s="11">
        <f>IF(A6&lt;D3,2,"")</f>
        <v>2</v>
      </c>
      <c r="B7" s="52" t="s">
        <v>189</v>
      </c>
      <c r="C7" s="13">
        <v>26436</v>
      </c>
      <c r="D7" s="15" t="s">
        <v>188</v>
      </c>
      <c r="E7" s="52" t="s">
        <v>192</v>
      </c>
      <c r="F7" s="13">
        <v>42979</v>
      </c>
      <c r="G7" s="73"/>
    </row>
    <row r="8" spans="1:7" ht="51">
      <c r="A8" s="11">
        <f>IF(A7&lt;D3,3,"")</f>
        <v>3</v>
      </c>
      <c r="B8" s="52" t="s">
        <v>190</v>
      </c>
      <c r="C8" s="13">
        <v>24166</v>
      </c>
      <c r="D8" s="15" t="s">
        <v>188</v>
      </c>
      <c r="E8" s="52" t="s">
        <v>191</v>
      </c>
      <c r="F8" s="13">
        <v>42990</v>
      </c>
      <c r="G8" s="73"/>
    </row>
    <row r="9" spans="1:7">
      <c r="A9" s="12" t="str">
        <f>IF(A8&lt;D3,4,"")</f>
        <v/>
      </c>
      <c r="B9" s="54"/>
      <c r="C9" s="13"/>
      <c r="D9" s="15"/>
      <c r="E9" s="52"/>
      <c r="F9" s="13"/>
      <c r="G9" s="73"/>
    </row>
    <row r="10" spans="1:7">
      <c r="A10" s="12" t="str">
        <f>IF(A9&lt;D3,5,"")</f>
        <v/>
      </c>
      <c r="B10" s="54"/>
      <c r="C10" s="13"/>
      <c r="D10" s="15"/>
      <c r="E10" s="52"/>
      <c r="F10" s="13"/>
      <c r="G10" s="73"/>
    </row>
    <row r="11" spans="1:7">
      <c r="A11" s="16"/>
      <c r="B11" s="17"/>
      <c r="C11" s="18"/>
      <c r="D11" s="19"/>
      <c r="E11" s="20"/>
      <c r="F11" s="21"/>
      <c r="G11" s="20"/>
    </row>
    <row r="12" spans="1:7">
      <c r="A12" s="16"/>
      <c r="B12" s="17"/>
      <c r="C12" s="18"/>
      <c r="D12" s="19"/>
      <c r="E12" s="20"/>
      <c r="F12" s="21"/>
      <c r="G12" s="20"/>
    </row>
    <row r="13" spans="1:7">
      <c r="A13" s="16"/>
      <c r="B13" s="17"/>
      <c r="C13" s="18"/>
      <c r="D13" s="19"/>
      <c r="E13" s="20"/>
      <c r="F13" s="21"/>
      <c r="G13" s="20"/>
    </row>
    <row r="14" spans="1:7">
      <c r="A14" s="16"/>
      <c r="B14" s="17"/>
      <c r="C14" s="18"/>
      <c r="D14" s="19"/>
      <c r="E14" s="20"/>
      <c r="F14" s="21"/>
      <c r="G14" s="20"/>
    </row>
    <row r="15" spans="1:7">
      <c r="A15" s="16"/>
      <c r="B15" s="17"/>
      <c r="C15" s="18"/>
      <c r="D15" s="19"/>
      <c r="E15" s="20"/>
      <c r="F15" s="21"/>
      <c r="G15" s="20"/>
    </row>
    <row r="16" spans="1:7">
      <c r="A16" s="16"/>
      <c r="B16" s="17"/>
      <c r="C16" s="18"/>
      <c r="D16" s="19"/>
      <c r="E16" s="20"/>
      <c r="F16" s="21"/>
      <c r="G16" s="20"/>
    </row>
    <row r="17" spans="1:7">
      <c r="A17" s="16"/>
      <c r="B17" s="17"/>
      <c r="C17" s="18"/>
      <c r="D17" s="19"/>
      <c r="E17" s="20"/>
      <c r="F17" s="21"/>
      <c r="G17" s="20"/>
    </row>
    <row r="18" spans="1:7">
      <c r="A18" s="16"/>
      <c r="B18" s="17"/>
      <c r="C18" s="18"/>
      <c r="D18" s="19"/>
      <c r="E18" s="20"/>
      <c r="F18" s="21"/>
      <c r="G18" s="20"/>
    </row>
    <row r="19" spans="1:7">
      <c r="A19" s="16"/>
      <c r="B19" s="17"/>
      <c r="C19" s="18"/>
      <c r="D19" s="19"/>
      <c r="E19" s="20"/>
      <c r="F19" s="21"/>
      <c r="G19" s="22"/>
    </row>
    <row r="20" spans="1:7">
      <c r="A20" s="16"/>
      <c r="B20" s="17"/>
      <c r="C20" s="21"/>
      <c r="D20" s="19"/>
      <c r="E20" s="20"/>
      <c r="F20" s="21"/>
      <c r="G20" s="22"/>
    </row>
    <row r="21" spans="1:7">
      <c r="A21" s="16"/>
      <c r="B21" s="17"/>
      <c r="C21" s="21"/>
      <c r="D21" s="19"/>
      <c r="E21" s="20"/>
      <c r="F21" s="21"/>
      <c r="G21" s="22"/>
    </row>
    <row r="22" spans="1:7">
      <c r="A22" s="16"/>
      <c r="B22" s="17"/>
      <c r="C22" s="21"/>
      <c r="D22" s="19"/>
      <c r="E22" s="20"/>
      <c r="F22" s="21"/>
      <c r="G22" s="22"/>
    </row>
    <row r="23" spans="1:7">
      <c r="A23" s="16"/>
      <c r="B23" s="17"/>
      <c r="C23" s="21"/>
      <c r="D23" s="19"/>
      <c r="E23" s="20"/>
      <c r="F23" s="21"/>
      <c r="G23" s="22"/>
    </row>
    <row r="24" spans="1:7">
      <c r="A24" s="16"/>
      <c r="B24" s="17"/>
      <c r="C24" s="21"/>
      <c r="D24" s="19"/>
      <c r="E24" s="20"/>
      <c r="F24" s="21"/>
      <c r="G24" s="22"/>
    </row>
    <row r="25" spans="1:7">
      <c r="A25" s="16"/>
      <c r="B25" s="17"/>
      <c r="C25" s="21"/>
      <c r="D25" s="19"/>
      <c r="E25" s="20"/>
      <c r="F25" s="21"/>
      <c r="G25" s="22"/>
    </row>
    <row r="26" spans="1:7">
      <c r="A26" s="23"/>
      <c r="B26" s="23"/>
      <c r="C26" s="23"/>
      <c r="D26" s="23"/>
      <c r="E26" s="23"/>
      <c r="F26" s="23"/>
      <c r="G26" s="23"/>
    </row>
    <row r="27" spans="1:7">
      <c r="A27" s="23"/>
      <c r="B27" s="23"/>
      <c r="C27" s="23"/>
      <c r="D27" s="23"/>
      <c r="E27" s="23"/>
      <c r="F27" s="23"/>
      <c r="G27" s="23"/>
    </row>
    <row r="28" spans="1:7">
      <c r="A28" s="23"/>
      <c r="B28" s="23"/>
      <c r="C28" s="23"/>
      <c r="D28" s="23"/>
      <c r="E28" s="23"/>
      <c r="F28" s="23"/>
      <c r="G28" s="23"/>
    </row>
    <row r="29" spans="1:7">
      <c r="A29" s="23"/>
      <c r="B29" s="23"/>
      <c r="C29" s="23"/>
      <c r="D29" s="23"/>
      <c r="E29" s="23"/>
      <c r="F29" s="23"/>
      <c r="G29" s="23"/>
    </row>
    <row r="30" spans="1:7">
      <c r="A30" s="23"/>
      <c r="B30" s="23"/>
      <c r="C30" s="23"/>
      <c r="D30" s="23"/>
      <c r="E30" s="23"/>
      <c r="F30" s="23"/>
      <c r="G30" s="23"/>
    </row>
    <row r="31" spans="1:7">
      <c r="A31" s="23"/>
      <c r="B31" s="23"/>
      <c r="C31" s="23"/>
      <c r="D31" s="23"/>
      <c r="E31" s="23"/>
      <c r="F31" s="23"/>
      <c r="G31" s="23"/>
    </row>
    <row r="32" spans="1:7">
      <c r="A32" s="23"/>
      <c r="B32" s="23"/>
      <c r="C32" s="23"/>
      <c r="D32" s="23"/>
      <c r="E32" s="23"/>
      <c r="F32" s="23"/>
      <c r="G32" s="23"/>
    </row>
    <row r="33" spans="1:7">
      <c r="A33" s="23"/>
      <c r="B33" s="23"/>
      <c r="C33" s="23"/>
      <c r="D33" s="23"/>
      <c r="E33" s="23"/>
      <c r="F33" s="23"/>
      <c r="G33" s="23"/>
    </row>
    <row r="34" spans="1:7">
      <c r="A34" s="23"/>
      <c r="B34" s="23"/>
      <c r="C34" s="23"/>
      <c r="D34" s="23"/>
      <c r="E34" s="23"/>
      <c r="F34" s="23"/>
      <c r="G34" s="23"/>
    </row>
    <row r="35" spans="1:7">
      <c r="A35" s="23"/>
      <c r="B35" s="23"/>
      <c r="C35" s="23"/>
      <c r="D35" s="23"/>
      <c r="E35" s="23"/>
      <c r="F35" s="23"/>
      <c r="G35" s="23"/>
    </row>
    <row r="36" spans="1:7">
      <c r="A36" s="23"/>
      <c r="B36" s="23"/>
      <c r="C36" s="23"/>
      <c r="D36" s="23"/>
      <c r="E36" s="23"/>
      <c r="F36" s="23"/>
      <c r="G36" s="23"/>
    </row>
  </sheetData>
  <sheetProtection selectLockedCells="1"/>
  <mergeCells count="2">
    <mergeCell ref="A1:G1"/>
    <mergeCell ref="A3:C3"/>
  </mergeCells>
  <conditionalFormatting sqref="B23:G25 B6:G10">
    <cfRule type="cellIs" dxfId="37" priority="1" operator="greaterThan">
      <formula>0</formula>
    </cfRule>
  </conditionalFormatting>
  <conditionalFormatting sqref="A6:A10">
    <cfRule type="cellIs" dxfId="36" priority="2" operator="between">
      <formula>1</formula>
      <formula>5</formula>
    </cfRule>
  </conditionalFormatting>
  <dataValidations count="6">
    <dataValidation allowBlank="1" showErrorMessage="1" error="Введите либо 0, либо целое положительное число." sqref="D3"/>
    <dataValidation type="date" allowBlank="1" showErrorMessage="1" error="Введите дату начала работы в данном учреждении в формате &quot;день.месяц.год&quot;." sqref="F11:F25">
      <formula1>1</formula1>
      <formula2>43616</formula2>
    </dataValidation>
    <dataValidation type="date" allowBlank="1" showErrorMessage="1" error="Введите дату рождения в формате &quot;день.месяц.год&quot;." sqref="C11:C18">
      <formula1>1</formula1>
      <formula2>37621</formula2>
    </dataValidation>
    <dataValidation allowBlank="1" showErrorMessage="1" error="Введите дату рождения в формате &quot;день.месяц.год&quot;." sqref="C6:C10"/>
    <dataValidation type="list" allowBlank="1" showErrorMessage="1" sqref="D6:D10">
      <formula1>"Директор, Заместитель директора, Заместитель директора по АХЧ"</formula1>
    </dataValidation>
    <dataValidation allowBlank="1" showErrorMessage="1" error="Введите дату начала работы в данном учреждении в формате &quot;день.месяц.год&quot;." sqref="F6:F10"/>
  </dataValidations>
  <pageMargins left="0.7" right="0.7" top="0.75" bottom="0.75" header="0.3" footer="0.3"/>
  <pageSetup paperSize="9" orientation="landscape" r:id="rId1"/>
  <headerFooter>
    <oddHeader>&amp;R&amp;"Times New Roman,обычный"&amp;10Анализ деятельности образовательного учреждения культурыпо итогам 2020-2021 учебного года</oddHeader>
    <oddFooter>&amp;C&amp;P</oddFooter>
  </headerFooter>
  <legacyDrawing r:id="rId2"/>
</worksheet>
</file>

<file path=xl/worksheets/sheet5.xml><?xml version="1.0" encoding="utf-8"?>
<worksheet xmlns="http://schemas.openxmlformats.org/spreadsheetml/2006/main" xmlns:r="http://schemas.openxmlformats.org/officeDocument/2006/relationships">
  <dimension ref="A1:H57"/>
  <sheetViews>
    <sheetView showWhiteSpace="0" view="pageLayout" workbookViewId="0">
      <selection activeCell="H6" sqref="H6"/>
    </sheetView>
  </sheetViews>
  <sheetFormatPr defaultRowHeight="12.75"/>
  <cols>
    <col min="1" max="1" width="3.28515625" style="9" customWidth="1"/>
    <col min="2" max="2" width="16.42578125" style="9" customWidth="1"/>
    <col min="3" max="3" width="10.7109375" style="9" customWidth="1"/>
    <col min="4" max="4" width="14.7109375" style="9" customWidth="1"/>
    <col min="5" max="5" width="33.28515625" style="9" customWidth="1"/>
    <col min="6" max="6" width="10.7109375" style="9" customWidth="1"/>
    <col min="7" max="7" width="8.85546875" style="9" customWidth="1"/>
    <col min="8" max="8" width="26.7109375" style="9" customWidth="1"/>
    <col min="9" max="16384" width="9.140625" style="9"/>
  </cols>
  <sheetData>
    <row r="1" spans="1:8" ht="15.75">
      <c r="A1" s="99" t="s">
        <v>122</v>
      </c>
      <c r="B1" s="99"/>
      <c r="C1" s="99"/>
      <c r="D1" s="99"/>
      <c r="E1" s="99"/>
      <c r="F1" s="99"/>
      <c r="G1" s="99"/>
      <c r="H1" s="99"/>
    </row>
    <row r="3" spans="1:8" ht="15">
      <c r="A3" s="125" t="s">
        <v>22</v>
      </c>
      <c r="B3" s="125"/>
      <c r="C3" s="125"/>
      <c r="D3" s="96">
        <v>28</v>
      </c>
      <c r="E3" s="10"/>
      <c r="F3" s="10"/>
      <c r="G3" s="10"/>
      <c r="H3" s="10"/>
    </row>
    <row r="5" spans="1:8" ht="67.5" customHeight="1">
      <c r="A5" s="39" t="s">
        <v>23</v>
      </c>
      <c r="B5" s="39" t="s">
        <v>24</v>
      </c>
      <c r="C5" s="39" t="s">
        <v>25</v>
      </c>
      <c r="D5" s="39" t="s">
        <v>29</v>
      </c>
      <c r="E5" s="39" t="s">
        <v>93</v>
      </c>
      <c r="F5" s="39" t="s">
        <v>26</v>
      </c>
      <c r="G5" s="39" t="s">
        <v>27</v>
      </c>
      <c r="H5" s="39" t="s">
        <v>28</v>
      </c>
    </row>
    <row r="6" spans="1:8" ht="114.75">
      <c r="A6" s="11">
        <f>IF(1&lt;=D3,1,"")</f>
        <v>1</v>
      </c>
      <c r="B6" s="74" t="s">
        <v>193</v>
      </c>
      <c r="C6" s="13">
        <v>19033</v>
      </c>
      <c r="D6" s="15" t="s">
        <v>172</v>
      </c>
      <c r="E6" s="52" t="s">
        <v>279</v>
      </c>
      <c r="F6" s="81"/>
      <c r="G6" s="82" t="s">
        <v>194</v>
      </c>
      <c r="H6" s="73" t="s">
        <v>244</v>
      </c>
    </row>
    <row r="7" spans="1:8" ht="153">
      <c r="A7" s="11">
        <v>2</v>
      </c>
      <c r="B7" s="74" t="s">
        <v>243</v>
      </c>
      <c r="C7" s="13">
        <v>30788</v>
      </c>
      <c r="D7" s="15" t="s">
        <v>67</v>
      </c>
      <c r="E7" s="52" t="s">
        <v>280</v>
      </c>
      <c r="F7" s="13">
        <v>37501</v>
      </c>
      <c r="G7" s="15" t="s">
        <v>200</v>
      </c>
      <c r="H7" s="73" t="s">
        <v>128</v>
      </c>
    </row>
    <row r="8" spans="1:8" ht="63.75">
      <c r="A8" s="79">
        <v>3</v>
      </c>
      <c r="B8" s="80" t="s">
        <v>203</v>
      </c>
      <c r="C8" s="81">
        <v>36927</v>
      </c>
      <c r="D8" s="82" t="s">
        <v>202</v>
      </c>
      <c r="E8" s="94" t="s">
        <v>281</v>
      </c>
      <c r="F8" s="81"/>
      <c r="G8" s="82" t="s">
        <v>194</v>
      </c>
      <c r="H8" s="84" t="s">
        <v>244</v>
      </c>
    </row>
    <row r="9" spans="1:8" ht="178.5">
      <c r="A9" s="12">
        <f>IF(A7&lt;D3,4,"")</f>
        <v>4</v>
      </c>
      <c r="B9" s="54" t="s">
        <v>242</v>
      </c>
      <c r="C9" s="13">
        <v>21326</v>
      </c>
      <c r="D9" s="15" t="s">
        <v>212</v>
      </c>
      <c r="E9" s="52" t="s">
        <v>241</v>
      </c>
      <c r="F9" s="13">
        <v>38961</v>
      </c>
      <c r="G9" s="15" t="s">
        <v>200</v>
      </c>
      <c r="H9" s="73" t="s">
        <v>128</v>
      </c>
    </row>
    <row r="10" spans="1:8" ht="114.75">
      <c r="A10" s="12">
        <f>IF(A9&lt;D3,5,"")</f>
        <v>5</v>
      </c>
      <c r="B10" s="54" t="s">
        <v>240</v>
      </c>
      <c r="C10" s="13">
        <v>21382</v>
      </c>
      <c r="D10" s="15" t="s">
        <v>172</v>
      </c>
      <c r="E10" s="52" t="s">
        <v>282</v>
      </c>
      <c r="F10" s="13">
        <v>30376</v>
      </c>
      <c r="G10" s="15" t="s">
        <v>194</v>
      </c>
      <c r="H10" s="73" t="s">
        <v>128</v>
      </c>
    </row>
    <row r="11" spans="1:8" ht="102">
      <c r="A11" s="79">
        <v>6</v>
      </c>
      <c r="B11" s="83" t="s">
        <v>210</v>
      </c>
      <c r="C11" s="81">
        <v>19363</v>
      </c>
      <c r="D11" s="82" t="s">
        <v>172</v>
      </c>
      <c r="E11" s="94" t="s">
        <v>209</v>
      </c>
      <c r="F11" s="81"/>
      <c r="G11" s="82" t="s">
        <v>200</v>
      </c>
      <c r="H11" s="84" t="s">
        <v>244</v>
      </c>
    </row>
    <row r="12" spans="1:8" ht="165.75">
      <c r="A12" s="79">
        <v>7</v>
      </c>
      <c r="B12" s="80" t="s">
        <v>245</v>
      </c>
      <c r="C12" s="81">
        <v>33584</v>
      </c>
      <c r="D12" s="82" t="s">
        <v>64</v>
      </c>
      <c r="E12" s="94" t="s">
        <v>291</v>
      </c>
      <c r="F12" s="81"/>
      <c r="G12" s="82" t="s">
        <v>194</v>
      </c>
      <c r="H12" s="84" t="s">
        <v>244</v>
      </c>
    </row>
    <row r="13" spans="1:8" ht="140.25">
      <c r="A13" s="12">
        <v>8</v>
      </c>
      <c r="B13" s="54" t="s">
        <v>239</v>
      </c>
      <c r="C13" s="13">
        <v>22681</v>
      </c>
      <c r="D13" s="15" t="s">
        <v>197</v>
      </c>
      <c r="E13" s="52" t="s">
        <v>238</v>
      </c>
      <c r="F13" s="13">
        <v>30926</v>
      </c>
      <c r="G13" s="15" t="s">
        <v>200</v>
      </c>
      <c r="H13" s="73" t="s">
        <v>128</v>
      </c>
    </row>
    <row r="14" spans="1:8" ht="102">
      <c r="A14" s="12">
        <v>9</v>
      </c>
      <c r="B14" s="54" t="s">
        <v>201</v>
      </c>
      <c r="C14" s="13">
        <v>29018</v>
      </c>
      <c r="D14" s="15" t="s">
        <v>262</v>
      </c>
      <c r="E14" s="95" t="s">
        <v>292</v>
      </c>
      <c r="F14" s="13"/>
      <c r="G14" s="15" t="s">
        <v>200</v>
      </c>
      <c r="H14" s="73" t="s">
        <v>244</v>
      </c>
    </row>
    <row r="15" spans="1:8" ht="114.75">
      <c r="A15" s="12">
        <v>10</v>
      </c>
      <c r="B15" s="54" t="s">
        <v>237</v>
      </c>
      <c r="C15" s="14">
        <v>29775</v>
      </c>
      <c r="D15" s="15" t="s">
        <v>197</v>
      </c>
      <c r="E15" s="52" t="s">
        <v>236</v>
      </c>
      <c r="F15" s="13">
        <v>36770</v>
      </c>
      <c r="G15" s="15" t="s">
        <v>206</v>
      </c>
      <c r="H15" s="73" t="s">
        <v>128</v>
      </c>
    </row>
    <row r="16" spans="1:8" ht="89.25">
      <c r="A16" s="12">
        <v>11</v>
      </c>
      <c r="B16" s="54" t="s">
        <v>235</v>
      </c>
      <c r="C16" s="14">
        <v>19707</v>
      </c>
      <c r="D16" s="15" t="s">
        <v>172</v>
      </c>
      <c r="E16" s="52" t="s">
        <v>234</v>
      </c>
      <c r="F16" s="13">
        <v>34578</v>
      </c>
      <c r="G16" s="15" t="s">
        <v>194</v>
      </c>
      <c r="H16" s="73" t="s">
        <v>128</v>
      </c>
    </row>
    <row r="17" spans="1:8" ht="127.5">
      <c r="A17" s="12">
        <v>12</v>
      </c>
      <c r="B17" s="54" t="s">
        <v>233</v>
      </c>
      <c r="C17" s="14">
        <v>33017</v>
      </c>
      <c r="D17" s="15" t="s">
        <v>172</v>
      </c>
      <c r="E17" s="52" t="s">
        <v>232</v>
      </c>
      <c r="F17" s="13">
        <v>40787</v>
      </c>
      <c r="G17" s="15" t="s">
        <v>194</v>
      </c>
      <c r="H17" s="73" t="s">
        <v>128</v>
      </c>
    </row>
    <row r="18" spans="1:8" ht="102">
      <c r="A18" s="79">
        <v>13</v>
      </c>
      <c r="B18" s="83" t="s">
        <v>199</v>
      </c>
      <c r="C18" s="81">
        <v>31144</v>
      </c>
      <c r="D18" s="82" t="s">
        <v>196</v>
      </c>
      <c r="E18" s="83" t="s">
        <v>283</v>
      </c>
      <c r="F18" s="81"/>
      <c r="G18" s="82" t="s">
        <v>194</v>
      </c>
      <c r="H18" s="84" t="s">
        <v>263</v>
      </c>
    </row>
    <row r="19" spans="1:8" ht="140.25">
      <c r="A19" s="12">
        <v>14</v>
      </c>
      <c r="B19" s="54" t="s">
        <v>231</v>
      </c>
      <c r="C19" s="14">
        <v>29264</v>
      </c>
      <c r="D19" s="15" t="s">
        <v>172</v>
      </c>
      <c r="E19" s="52" t="s">
        <v>230</v>
      </c>
      <c r="F19" s="13">
        <v>42979</v>
      </c>
      <c r="G19" s="15" t="s">
        <v>194</v>
      </c>
      <c r="H19" s="73" t="s">
        <v>128</v>
      </c>
    </row>
    <row r="20" spans="1:8" ht="114.75">
      <c r="A20" s="79">
        <v>15</v>
      </c>
      <c r="B20" s="83" t="s">
        <v>189</v>
      </c>
      <c r="C20" s="81">
        <v>26436</v>
      </c>
      <c r="D20" s="82" t="s">
        <v>197</v>
      </c>
      <c r="E20" s="83" t="s">
        <v>192</v>
      </c>
      <c r="F20" s="81">
        <v>41883</v>
      </c>
      <c r="G20" s="82" t="s">
        <v>200</v>
      </c>
      <c r="H20" s="84"/>
    </row>
    <row r="21" spans="1:8" ht="255">
      <c r="A21" s="12">
        <v>16</v>
      </c>
      <c r="B21" s="54" t="s">
        <v>229</v>
      </c>
      <c r="C21" s="14">
        <v>29905</v>
      </c>
      <c r="D21" s="15" t="s">
        <v>172</v>
      </c>
      <c r="E21" s="52" t="s">
        <v>228</v>
      </c>
      <c r="F21" s="13">
        <v>42780</v>
      </c>
      <c r="G21" s="15" t="s">
        <v>206</v>
      </c>
      <c r="H21" s="73" t="s">
        <v>128</v>
      </c>
    </row>
    <row r="22" spans="1:8" ht="76.5">
      <c r="A22" s="79">
        <v>17</v>
      </c>
      <c r="B22" s="83" t="s">
        <v>198</v>
      </c>
      <c r="C22" s="81">
        <v>34781</v>
      </c>
      <c r="D22" s="82" t="s">
        <v>197</v>
      </c>
      <c r="E22" s="83" t="s">
        <v>284</v>
      </c>
      <c r="F22" s="81"/>
      <c r="G22" s="82" t="s">
        <v>194</v>
      </c>
      <c r="H22" s="84" t="s">
        <v>244</v>
      </c>
    </row>
    <row r="23" spans="1:8" ht="204">
      <c r="A23" s="79">
        <v>18</v>
      </c>
      <c r="B23" s="83" t="s">
        <v>222</v>
      </c>
      <c r="C23" s="81">
        <v>20632</v>
      </c>
      <c r="D23" s="82" t="s">
        <v>172</v>
      </c>
      <c r="E23" s="83" t="s">
        <v>221</v>
      </c>
      <c r="F23" s="81">
        <v>34562</v>
      </c>
      <c r="G23" s="82" t="s">
        <v>200</v>
      </c>
      <c r="H23" s="84"/>
    </row>
    <row r="24" spans="1:8" ht="127.5">
      <c r="A24" s="79">
        <v>19</v>
      </c>
      <c r="B24" s="83" t="s">
        <v>220</v>
      </c>
      <c r="C24" s="81">
        <v>25465</v>
      </c>
      <c r="D24" s="82" t="s">
        <v>65</v>
      </c>
      <c r="E24" s="83" t="s">
        <v>219</v>
      </c>
      <c r="F24" s="81">
        <v>35704</v>
      </c>
      <c r="G24" s="82" t="s">
        <v>200</v>
      </c>
      <c r="H24" s="84"/>
    </row>
    <row r="25" spans="1:8" ht="140.25">
      <c r="A25" s="79">
        <v>20</v>
      </c>
      <c r="B25" s="83" t="s">
        <v>205</v>
      </c>
      <c r="C25" s="81">
        <v>26745</v>
      </c>
      <c r="D25" s="82" t="s">
        <v>67</v>
      </c>
      <c r="E25" s="83" t="s">
        <v>204</v>
      </c>
      <c r="F25" s="81"/>
      <c r="G25" s="82" t="s">
        <v>200</v>
      </c>
      <c r="H25" s="84" t="s">
        <v>244</v>
      </c>
    </row>
    <row r="26" spans="1:8" ht="140.25">
      <c r="A26" s="79">
        <v>21</v>
      </c>
      <c r="B26" s="83" t="s">
        <v>208</v>
      </c>
      <c r="C26" s="81">
        <v>33010</v>
      </c>
      <c r="D26" s="82" t="s">
        <v>202</v>
      </c>
      <c r="E26" s="83" t="s">
        <v>207</v>
      </c>
      <c r="F26" s="81"/>
      <c r="G26" s="82" t="s">
        <v>206</v>
      </c>
      <c r="H26" s="84" t="s">
        <v>244</v>
      </c>
    </row>
    <row r="27" spans="1:8" ht="63.75">
      <c r="A27" s="12">
        <v>22</v>
      </c>
      <c r="B27" s="54" t="s">
        <v>218</v>
      </c>
      <c r="C27" s="14">
        <v>22922</v>
      </c>
      <c r="D27" s="85" t="s">
        <v>172</v>
      </c>
      <c r="E27" s="54" t="s">
        <v>287</v>
      </c>
      <c r="F27" s="14">
        <v>36404</v>
      </c>
      <c r="G27" s="85" t="s">
        <v>194</v>
      </c>
      <c r="H27" s="86"/>
    </row>
    <row r="28" spans="1:8" ht="204">
      <c r="A28" s="79">
        <v>23</v>
      </c>
      <c r="B28" s="83" t="s">
        <v>213</v>
      </c>
      <c r="C28" s="81">
        <v>21454</v>
      </c>
      <c r="D28" s="82" t="s">
        <v>212</v>
      </c>
      <c r="E28" s="83" t="s">
        <v>211</v>
      </c>
      <c r="F28" s="81">
        <v>34939</v>
      </c>
      <c r="G28" s="82" t="s">
        <v>200</v>
      </c>
      <c r="H28" s="84"/>
    </row>
    <row r="29" spans="1:8" ht="63.75">
      <c r="A29" s="79">
        <v>24</v>
      </c>
      <c r="B29" s="83" t="s">
        <v>215</v>
      </c>
      <c r="C29" s="81">
        <v>22208</v>
      </c>
      <c r="D29" s="82" t="s">
        <v>172</v>
      </c>
      <c r="E29" s="83" t="s">
        <v>214</v>
      </c>
      <c r="F29" s="81">
        <v>40422</v>
      </c>
      <c r="G29" s="82" t="s">
        <v>200</v>
      </c>
      <c r="H29" s="84"/>
    </row>
    <row r="30" spans="1:8" ht="89.25">
      <c r="A30" s="79">
        <v>25</v>
      </c>
      <c r="B30" s="83" t="s">
        <v>217</v>
      </c>
      <c r="C30" s="81">
        <v>18448</v>
      </c>
      <c r="D30" s="82" t="s">
        <v>65</v>
      </c>
      <c r="E30" s="83" t="s">
        <v>216</v>
      </c>
      <c r="F30" s="81">
        <v>29096</v>
      </c>
      <c r="G30" s="82" t="s">
        <v>194</v>
      </c>
      <c r="H30" s="84"/>
    </row>
    <row r="31" spans="1:8" ht="76.5">
      <c r="A31" s="79">
        <v>26</v>
      </c>
      <c r="B31" s="83" t="s">
        <v>227</v>
      </c>
      <c r="C31" s="81">
        <v>19422</v>
      </c>
      <c r="D31" s="82" t="s">
        <v>50</v>
      </c>
      <c r="E31" s="83" t="s">
        <v>226</v>
      </c>
      <c r="F31" s="81"/>
      <c r="G31" s="82" t="s">
        <v>206</v>
      </c>
      <c r="H31" s="84" t="s">
        <v>244</v>
      </c>
    </row>
    <row r="32" spans="1:8" ht="63.75">
      <c r="A32" s="12">
        <v>27</v>
      </c>
      <c r="B32" s="83" t="s">
        <v>225</v>
      </c>
      <c r="C32" s="81">
        <v>30339</v>
      </c>
      <c r="D32" s="82" t="s">
        <v>224</v>
      </c>
      <c r="E32" s="94" t="s">
        <v>223</v>
      </c>
      <c r="F32" s="81"/>
      <c r="G32" s="82" t="s">
        <v>194</v>
      </c>
      <c r="H32" s="84" t="s">
        <v>244</v>
      </c>
    </row>
    <row r="33" spans="1:8" ht="63.75">
      <c r="A33" s="12">
        <v>28</v>
      </c>
      <c r="B33" s="83" t="s">
        <v>264</v>
      </c>
      <c r="C33" s="81">
        <v>36230</v>
      </c>
      <c r="D33" s="82" t="s">
        <v>196</v>
      </c>
      <c r="E33" s="83" t="s">
        <v>290</v>
      </c>
      <c r="F33" s="81"/>
      <c r="G33" s="82" t="s">
        <v>194</v>
      </c>
      <c r="H33" s="84" t="s">
        <v>195</v>
      </c>
    </row>
    <row r="34" spans="1:8">
      <c r="A34" s="12"/>
      <c r="B34" s="54"/>
      <c r="C34" s="13"/>
      <c r="D34" s="15"/>
      <c r="E34" s="52"/>
      <c r="F34" s="13"/>
      <c r="G34" s="15"/>
      <c r="H34" s="73"/>
    </row>
    <row r="35" spans="1:8">
      <c r="A35" s="12"/>
      <c r="B35" s="54"/>
      <c r="C35" s="13"/>
      <c r="D35" s="15"/>
      <c r="E35" s="52"/>
      <c r="F35" s="13"/>
      <c r="G35" s="15"/>
      <c r="H35" s="73"/>
    </row>
    <row r="36" spans="1:8">
      <c r="A36" s="12"/>
      <c r="B36" s="54"/>
      <c r="C36" s="13"/>
      <c r="D36" s="15"/>
      <c r="E36" s="52"/>
      <c r="F36" s="13"/>
      <c r="G36" s="15"/>
      <c r="H36" s="73"/>
    </row>
    <row r="37" spans="1:8">
      <c r="A37" s="12">
        <f>IF(A36&lt;D3,40,"")</f>
        <v>40</v>
      </c>
      <c r="B37" s="54"/>
      <c r="C37" s="13"/>
      <c r="D37" s="15"/>
      <c r="E37" s="52"/>
      <c r="F37" s="13"/>
      <c r="G37" s="15"/>
      <c r="H37" s="73"/>
    </row>
    <row r="38" spans="1:8">
      <c r="A38" s="12" t="str">
        <f>IF(A37&lt;D3,41,"")</f>
        <v/>
      </c>
      <c r="B38" s="54"/>
      <c r="C38" s="13"/>
      <c r="D38" s="15"/>
      <c r="E38" s="52"/>
      <c r="F38" s="13"/>
      <c r="G38" s="15"/>
      <c r="H38" s="73"/>
    </row>
    <row r="39" spans="1:8">
      <c r="A39" s="12" t="str">
        <f>IF(A38&lt;D3,42,"")</f>
        <v/>
      </c>
      <c r="B39" s="54"/>
      <c r="C39" s="13"/>
      <c r="D39" s="15"/>
      <c r="E39" s="52"/>
      <c r="F39" s="13"/>
      <c r="G39" s="15"/>
      <c r="H39" s="73"/>
    </row>
    <row r="40" spans="1:8">
      <c r="A40" s="12" t="str">
        <f>IF(A39&lt;D3,43,"")</f>
        <v/>
      </c>
      <c r="B40" s="54"/>
      <c r="C40" s="13"/>
      <c r="D40" s="15"/>
      <c r="E40" s="52"/>
      <c r="F40" s="13"/>
      <c r="G40" s="15"/>
      <c r="H40" s="73"/>
    </row>
    <row r="41" spans="1:8">
      <c r="A41" s="12" t="str">
        <f>IF(A40&lt;D3,44,"")</f>
        <v/>
      </c>
      <c r="B41" s="54"/>
      <c r="C41" s="13"/>
      <c r="D41" s="15"/>
      <c r="E41" s="52"/>
      <c r="F41" s="13"/>
      <c r="G41" s="15"/>
      <c r="H41" s="73"/>
    </row>
    <row r="42" spans="1:8">
      <c r="A42" s="12" t="str">
        <f>IF(A41&lt;D3,45,"")</f>
        <v/>
      </c>
      <c r="B42" s="54"/>
      <c r="C42" s="13"/>
      <c r="D42" s="15"/>
      <c r="E42" s="52"/>
      <c r="F42" s="13"/>
      <c r="G42" s="15"/>
      <c r="H42" s="73"/>
    </row>
    <row r="43" spans="1:8">
      <c r="A43" s="12" t="str">
        <f>IF(A42&lt;D3,46,"")</f>
        <v/>
      </c>
      <c r="B43" s="54"/>
      <c r="C43" s="13"/>
      <c r="D43" s="15"/>
      <c r="E43" s="52"/>
      <c r="F43" s="13"/>
      <c r="G43" s="15"/>
      <c r="H43" s="73"/>
    </row>
    <row r="44" spans="1:8">
      <c r="A44" s="12" t="str">
        <f>IF(A43&lt;D3,47,"")</f>
        <v/>
      </c>
      <c r="B44" s="54"/>
      <c r="C44" s="13"/>
      <c r="D44" s="15"/>
      <c r="E44" s="52"/>
      <c r="F44" s="13"/>
      <c r="G44" s="15"/>
      <c r="H44" s="73"/>
    </row>
    <row r="45" spans="1:8">
      <c r="A45" s="12" t="str">
        <f>IF(A44&lt;D3,48,"")</f>
        <v/>
      </c>
      <c r="B45" s="54"/>
      <c r="C45" s="13"/>
      <c r="D45" s="15"/>
      <c r="E45" s="52"/>
      <c r="F45" s="13"/>
      <c r="G45" s="15"/>
      <c r="H45" s="73"/>
    </row>
    <row r="46" spans="1:8">
      <c r="A46" s="12" t="str">
        <f>IF(A45&lt;D3,49,"")</f>
        <v/>
      </c>
      <c r="B46" s="54"/>
      <c r="C46" s="13"/>
      <c r="D46" s="15"/>
      <c r="E46" s="52"/>
      <c r="F46" s="13"/>
      <c r="G46" s="15"/>
      <c r="H46" s="73"/>
    </row>
    <row r="47" spans="1:8">
      <c r="A47" s="12" t="str">
        <f>IF(A46&lt;D3,50,"")</f>
        <v/>
      </c>
      <c r="B47" s="54"/>
      <c r="C47" s="13"/>
      <c r="D47" s="15"/>
      <c r="E47" s="52"/>
      <c r="F47" s="13"/>
      <c r="G47" s="15"/>
      <c r="H47" s="73"/>
    </row>
    <row r="48" spans="1:8">
      <c r="A48" s="12" t="str">
        <f>IF(A47&lt;D3,51,"")</f>
        <v/>
      </c>
      <c r="B48" s="54"/>
      <c r="C48" s="13"/>
      <c r="D48" s="15"/>
      <c r="E48" s="52"/>
      <c r="F48" s="13"/>
      <c r="G48" s="15"/>
      <c r="H48" s="73"/>
    </row>
    <row r="49" spans="1:8">
      <c r="A49" s="12" t="str">
        <f>IF(A48&lt;D3,52,"")</f>
        <v/>
      </c>
      <c r="B49" s="54"/>
      <c r="C49" s="13"/>
      <c r="D49" s="15"/>
      <c r="E49" s="52"/>
      <c r="F49" s="13"/>
      <c r="G49" s="15"/>
      <c r="H49" s="73"/>
    </row>
    <row r="50" spans="1:8">
      <c r="A50" s="12" t="str">
        <f>IF(A49&lt;D3,53,"")</f>
        <v/>
      </c>
      <c r="B50" s="54"/>
      <c r="C50" s="13"/>
      <c r="D50" s="15"/>
      <c r="E50" s="52"/>
      <c r="F50" s="13"/>
      <c r="G50" s="15"/>
      <c r="H50" s="73"/>
    </row>
    <row r="51" spans="1:8">
      <c r="A51" s="12" t="str">
        <f>IF(A50&lt;D3,54,"")</f>
        <v/>
      </c>
      <c r="B51" s="54"/>
      <c r="C51" s="13"/>
      <c r="D51" s="15"/>
      <c r="E51" s="52"/>
      <c r="F51" s="13"/>
      <c r="G51" s="15"/>
      <c r="H51" s="73"/>
    </row>
    <row r="52" spans="1:8">
      <c r="A52" s="12" t="str">
        <f>IF(A51&lt;D3,55,"")</f>
        <v/>
      </c>
      <c r="B52" s="54"/>
      <c r="C52" s="13"/>
      <c r="D52" s="15"/>
      <c r="E52" s="52"/>
      <c r="F52" s="13"/>
      <c r="G52" s="15"/>
      <c r="H52" s="73"/>
    </row>
    <row r="53" spans="1:8">
      <c r="A53" s="12" t="str">
        <f>IF(A52&lt;D3,56,"")</f>
        <v/>
      </c>
      <c r="B53" s="54"/>
      <c r="C53" s="13"/>
      <c r="D53" s="15"/>
      <c r="E53" s="52"/>
      <c r="F53" s="13"/>
      <c r="G53" s="15"/>
      <c r="H53" s="73"/>
    </row>
    <row r="54" spans="1:8">
      <c r="A54" s="12" t="str">
        <f>IF(A53&lt;D3,57,"")</f>
        <v/>
      </c>
      <c r="B54" s="54"/>
      <c r="C54" s="13"/>
      <c r="D54" s="15"/>
      <c r="E54" s="52"/>
      <c r="F54" s="13"/>
      <c r="G54" s="15"/>
      <c r="H54" s="73"/>
    </row>
    <row r="55" spans="1:8">
      <c r="A55" s="12" t="str">
        <f>IF(A54&lt;D3,58,"")</f>
        <v/>
      </c>
      <c r="B55" s="54"/>
      <c r="C55" s="13"/>
      <c r="D55" s="15"/>
      <c r="E55" s="52"/>
      <c r="F55" s="13"/>
      <c r="G55" s="15"/>
      <c r="H55" s="73"/>
    </row>
    <row r="56" spans="1:8">
      <c r="A56" s="12" t="str">
        <f>IF(A55&lt;D3,59,"")</f>
        <v/>
      </c>
      <c r="B56" s="54"/>
      <c r="C56" s="13"/>
      <c r="D56" s="15"/>
      <c r="E56" s="52"/>
      <c r="F56" s="13"/>
      <c r="G56" s="15"/>
      <c r="H56" s="73"/>
    </row>
    <row r="57" spans="1:8">
      <c r="A57" s="12" t="str">
        <f>IF(A56&lt;D3,60,"")</f>
        <v/>
      </c>
      <c r="B57" s="54"/>
      <c r="C57" s="13"/>
      <c r="D57" s="15"/>
      <c r="E57" s="52"/>
      <c r="F57" s="13"/>
      <c r="G57" s="15"/>
      <c r="H57" s="73"/>
    </row>
  </sheetData>
  <sheetProtection formatCells="0" selectLockedCells="1"/>
  <mergeCells count="2">
    <mergeCell ref="A1:H1"/>
    <mergeCell ref="A3:C3"/>
  </mergeCells>
  <conditionalFormatting sqref="B6:H57">
    <cfRule type="cellIs" dxfId="35" priority="2" operator="greaterThan">
      <formula>0</formula>
    </cfRule>
  </conditionalFormatting>
  <conditionalFormatting sqref="A6:A57">
    <cfRule type="cellIs" dxfId="34" priority="1" operator="between">
      <formula>1</formula>
      <formula>60</formula>
    </cfRule>
  </conditionalFormatting>
  <dataValidations count="4">
    <dataValidation type="date" allowBlank="1" showErrorMessage="1" error="Введите дату начала работы в данном учреждении в формате &quot;день.месяц.год&quot;." sqref="F6:F57">
      <formula1>1</formula1>
      <formula2>43616</formula2>
    </dataValidation>
    <dataValidation type="list" allowBlank="1" showInputMessage="1" showErrorMessage="1" sqref="G6:G57">
      <formula1>"Высшая, Первая, Без категории"</formula1>
    </dataValidation>
    <dataValidation type="whole" operator="lessThanOrEqual" allowBlank="1" showInputMessage="1" showErrorMessage="1" sqref="D3">
      <formula1>60</formula1>
    </dataValidation>
    <dataValidation type="date" allowBlank="1" showErrorMessage="1" error="Введите дату рождения в формате &quot;день.месяц.год&quot;." sqref="C6:C57">
      <formula1>1</formula1>
      <formula2>37621</formula2>
    </dataValidation>
  </dataValidations>
  <pageMargins left="0.7" right="0.7" top="0.75" bottom="0.75" header="0.3" footer="0.3"/>
  <pageSetup paperSize="9" orientation="landscape" r:id="rId1"/>
  <headerFooter>
    <oddHeader>&amp;L&amp;"Times New Roman,обычный"&amp;10МУДО «ДШИ № 10» г. Ярославля&amp;R&amp;"Times New Roman,обычный"&amp;10Анализ деятельности образовательного учреждения культурыпо итогам 2019-2020 учебного года. Форма 1</oddHeader>
    <oddFooter>&amp;C&amp;P</oddFooter>
  </headerFooter>
  <legacyDrawing r:id="rId2"/>
</worksheet>
</file>

<file path=xl/worksheets/sheet6.xml><?xml version="1.0" encoding="utf-8"?>
<worksheet xmlns="http://schemas.openxmlformats.org/spreadsheetml/2006/main" xmlns:r="http://schemas.openxmlformats.org/officeDocument/2006/relationships">
  <dimension ref="A1:H30"/>
  <sheetViews>
    <sheetView view="pageLayout" topLeftCell="A9" workbookViewId="0">
      <selection activeCell="E10" sqref="E10"/>
    </sheetView>
  </sheetViews>
  <sheetFormatPr defaultRowHeight="15"/>
  <cols>
    <col min="1" max="1" width="3.5703125" customWidth="1"/>
    <col min="2" max="2" width="13.28515625" customWidth="1"/>
    <col min="3" max="3" width="9.140625" customWidth="1"/>
    <col min="4" max="4" width="14" customWidth="1"/>
    <col min="5" max="5" width="49.5703125" customWidth="1"/>
    <col min="6" max="6" width="10.5703125" customWidth="1"/>
    <col min="7" max="7" width="9.140625" customWidth="1"/>
    <col min="8" max="8" width="16.42578125" customWidth="1"/>
  </cols>
  <sheetData>
    <row r="1" spans="1:8" ht="15.75">
      <c r="A1" s="99" t="s">
        <v>269</v>
      </c>
      <c r="B1" s="99"/>
      <c r="C1" s="99"/>
      <c r="D1" s="99"/>
      <c r="E1" s="99"/>
      <c r="F1" s="99"/>
      <c r="G1" s="99"/>
      <c r="H1" s="99"/>
    </row>
    <row r="2" spans="1:8">
      <c r="A2" s="9"/>
      <c r="B2" s="9"/>
      <c r="C2" s="9"/>
      <c r="D2" s="9"/>
      <c r="E2" s="9"/>
      <c r="F2" s="9"/>
      <c r="G2" s="9"/>
      <c r="H2" s="9"/>
    </row>
    <row r="3" spans="1:8">
      <c r="A3" s="125" t="s">
        <v>30</v>
      </c>
      <c r="B3" s="125"/>
      <c r="C3" s="125"/>
      <c r="D3" s="8">
        <v>5</v>
      </c>
      <c r="E3" s="10"/>
      <c r="F3" s="10"/>
      <c r="G3" s="10"/>
      <c r="H3" s="10"/>
    </row>
    <row r="4" spans="1:8">
      <c r="A4" s="9"/>
      <c r="B4" s="9"/>
      <c r="C4" s="9"/>
      <c r="D4" s="9"/>
      <c r="E4" s="9"/>
      <c r="F4" s="9"/>
      <c r="G4" s="9"/>
      <c r="H4" s="9"/>
    </row>
    <row r="5" spans="1:8" ht="75.75" customHeight="1">
      <c r="A5" s="39" t="s">
        <v>23</v>
      </c>
      <c r="B5" s="39" t="s">
        <v>24</v>
      </c>
      <c r="C5" s="39" t="s">
        <v>25</v>
      </c>
      <c r="D5" s="39" t="s">
        <v>268</v>
      </c>
      <c r="E5" s="39" t="s">
        <v>93</v>
      </c>
      <c r="F5" s="39" t="s">
        <v>26</v>
      </c>
      <c r="G5" s="39" t="s">
        <v>27</v>
      </c>
      <c r="H5" s="39" t="s">
        <v>28</v>
      </c>
    </row>
    <row r="6" spans="1:8" ht="105" customHeight="1">
      <c r="A6" s="11">
        <f>IF(1&lt;=D3,1,"")</f>
        <v>1</v>
      </c>
      <c r="B6" s="52" t="s">
        <v>233</v>
      </c>
      <c r="C6" s="13">
        <v>32652</v>
      </c>
      <c r="D6" s="93" t="s">
        <v>273</v>
      </c>
      <c r="E6" s="52" t="s">
        <v>232</v>
      </c>
      <c r="F6" s="13">
        <v>40787</v>
      </c>
      <c r="G6" s="15" t="s">
        <v>206</v>
      </c>
      <c r="H6" s="15" t="s">
        <v>128</v>
      </c>
    </row>
    <row r="7" spans="1:8" ht="201" customHeight="1">
      <c r="A7" s="11">
        <v>2</v>
      </c>
      <c r="B7" s="52" t="s">
        <v>229</v>
      </c>
      <c r="C7" s="13">
        <v>29905</v>
      </c>
      <c r="D7" s="93" t="s">
        <v>274</v>
      </c>
      <c r="E7" s="52" t="s">
        <v>286</v>
      </c>
      <c r="F7" s="13">
        <v>42780</v>
      </c>
      <c r="G7" s="15" t="s">
        <v>200</v>
      </c>
      <c r="H7" s="15"/>
    </row>
    <row r="8" spans="1:8" ht="123.75" customHeight="1">
      <c r="A8" s="11">
        <v>3</v>
      </c>
      <c r="B8" s="52" t="s">
        <v>270</v>
      </c>
      <c r="C8" s="13">
        <v>31242</v>
      </c>
      <c r="D8" s="93" t="s">
        <v>272</v>
      </c>
      <c r="E8" s="52" t="s">
        <v>285</v>
      </c>
      <c r="F8" s="13"/>
      <c r="G8" s="15" t="s">
        <v>206</v>
      </c>
      <c r="H8" s="15" t="s">
        <v>271</v>
      </c>
    </row>
    <row r="9" spans="1:8" ht="144" customHeight="1">
      <c r="A9" s="11">
        <v>4</v>
      </c>
      <c r="B9" s="52" t="s">
        <v>222</v>
      </c>
      <c r="C9" s="13">
        <v>20627</v>
      </c>
      <c r="D9" s="93"/>
      <c r="E9" s="52" t="s">
        <v>221</v>
      </c>
      <c r="F9" s="13"/>
      <c r="G9" s="15" t="s">
        <v>194</v>
      </c>
      <c r="H9" s="15" t="s">
        <v>275</v>
      </c>
    </row>
    <row r="10" spans="1:8" ht="123.75" customHeight="1">
      <c r="A10" s="11">
        <v>5</v>
      </c>
      <c r="B10" s="52" t="s">
        <v>276</v>
      </c>
      <c r="C10" s="13">
        <v>37354</v>
      </c>
      <c r="D10" s="93" t="s">
        <v>277</v>
      </c>
      <c r="E10" s="74" t="s">
        <v>289</v>
      </c>
      <c r="F10" s="13"/>
      <c r="G10" s="15" t="s">
        <v>194</v>
      </c>
      <c r="H10" s="15" t="s">
        <v>278</v>
      </c>
    </row>
    <row r="11" spans="1:8" ht="132" customHeight="1">
      <c r="A11" s="11">
        <v>6</v>
      </c>
      <c r="B11" s="52" t="s">
        <v>267</v>
      </c>
      <c r="C11" s="13">
        <v>32180</v>
      </c>
      <c r="D11" s="93" t="s">
        <v>266</v>
      </c>
      <c r="E11" s="52" t="s">
        <v>265</v>
      </c>
      <c r="F11" s="13">
        <v>42979</v>
      </c>
      <c r="G11" s="15" t="s">
        <v>200</v>
      </c>
      <c r="H11" s="15" t="s">
        <v>128</v>
      </c>
    </row>
    <row r="12" spans="1:8">
      <c r="A12" s="16"/>
      <c r="B12" s="92"/>
      <c r="C12" s="89"/>
      <c r="D12" s="90"/>
      <c r="E12" s="91"/>
      <c r="F12" s="89"/>
      <c r="G12" s="90"/>
      <c r="H12" s="88"/>
    </row>
    <row r="13" spans="1:8">
      <c r="A13" s="16"/>
      <c r="B13" s="92"/>
      <c r="C13" s="89"/>
      <c r="D13" s="90"/>
      <c r="E13" s="91"/>
      <c r="F13" s="89"/>
      <c r="G13" s="90"/>
      <c r="H13" s="88"/>
    </row>
    <row r="14" spans="1:8">
      <c r="A14" s="16"/>
      <c r="B14" s="92"/>
      <c r="C14" s="89"/>
      <c r="D14" s="90"/>
      <c r="E14" s="91"/>
      <c r="F14" s="89"/>
      <c r="G14" s="90"/>
      <c r="H14" s="88"/>
    </row>
    <row r="15" spans="1:8">
      <c r="A15" s="16"/>
      <c r="B15" s="92"/>
      <c r="C15" s="89"/>
      <c r="D15" s="90"/>
      <c r="E15" s="91"/>
      <c r="F15" s="89"/>
      <c r="G15" s="90"/>
      <c r="H15" s="88"/>
    </row>
    <row r="16" spans="1:8">
      <c r="A16" s="16"/>
      <c r="B16" s="92"/>
      <c r="C16" s="89"/>
      <c r="D16" s="90"/>
      <c r="E16" s="91"/>
      <c r="F16" s="89"/>
      <c r="G16" s="90"/>
      <c r="H16" s="88"/>
    </row>
    <row r="17" spans="1:8">
      <c r="A17" s="16"/>
      <c r="B17" s="92"/>
      <c r="C17" s="89"/>
      <c r="D17" s="90"/>
      <c r="E17" s="91"/>
      <c r="F17" s="89"/>
      <c r="G17" s="90"/>
      <c r="H17" s="88"/>
    </row>
    <row r="18" spans="1:8">
      <c r="A18" s="16"/>
      <c r="B18" s="92"/>
      <c r="C18" s="89"/>
      <c r="D18" s="90"/>
      <c r="E18" s="91"/>
      <c r="F18" s="89"/>
      <c r="G18" s="90"/>
      <c r="H18" s="88"/>
    </row>
    <row r="19" spans="1:8">
      <c r="A19" s="16"/>
      <c r="B19" s="92"/>
      <c r="C19" s="89"/>
      <c r="D19" s="90"/>
      <c r="E19" s="91"/>
      <c r="F19" s="89"/>
      <c r="G19" s="90"/>
      <c r="H19" s="88"/>
    </row>
    <row r="20" spans="1:8">
      <c r="A20" s="16"/>
      <c r="B20" s="92"/>
      <c r="C20" s="89"/>
      <c r="D20" s="90"/>
      <c r="E20" s="91"/>
      <c r="F20" s="89"/>
      <c r="G20" s="90"/>
      <c r="H20" s="88"/>
    </row>
    <row r="21" spans="1:8">
      <c r="A21" s="16"/>
      <c r="B21" s="92"/>
      <c r="C21" s="89"/>
      <c r="D21" s="90"/>
      <c r="E21" s="91"/>
      <c r="F21" s="89"/>
      <c r="G21" s="90"/>
      <c r="H21" s="88"/>
    </row>
    <row r="22" spans="1:8">
      <c r="A22" s="16"/>
      <c r="B22" s="92"/>
      <c r="C22" s="89"/>
      <c r="D22" s="90"/>
      <c r="E22" s="91"/>
      <c r="F22" s="89"/>
      <c r="G22" s="90"/>
      <c r="H22" s="88"/>
    </row>
    <row r="23" spans="1:8">
      <c r="A23" s="16"/>
      <c r="B23" s="92"/>
      <c r="C23" s="89"/>
      <c r="D23" s="90"/>
      <c r="E23" s="91"/>
      <c r="F23" s="89"/>
      <c r="G23" s="90"/>
      <c r="H23" s="88"/>
    </row>
    <row r="24" spans="1:8">
      <c r="A24" s="16"/>
      <c r="B24" s="92"/>
      <c r="C24" s="89"/>
      <c r="D24" s="90"/>
      <c r="E24" s="91"/>
      <c r="F24" s="89"/>
      <c r="G24" s="90"/>
      <c r="H24" s="88"/>
    </row>
    <row r="25" spans="1:8">
      <c r="A25" s="16"/>
      <c r="B25" s="92"/>
      <c r="C25" s="89"/>
      <c r="D25" s="90"/>
      <c r="E25" s="91"/>
      <c r="F25" s="89"/>
      <c r="G25" s="90"/>
      <c r="H25" s="88"/>
    </row>
    <row r="26" spans="1:8">
      <c r="A26" s="16"/>
      <c r="B26" s="92"/>
      <c r="C26" s="89"/>
      <c r="D26" s="90"/>
      <c r="E26" s="91"/>
      <c r="F26" s="89"/>
      <c r="G26" s="90"/>
      <c r="H26" s="88"/>
    </row>
    <row r="27" spans="1:8">
      <c r="A27" s="16"/>
      <c r="B27" s="92"/>
      <c r="C27" s="89"/>
      <c r="D27" s="90"/>
      <c r="E27" s="91"/>
      <c r="F27" s="89"/>
      <c r="G27" s="90"/>
      <c r="H27" s="88"/>
    </row>
    <row r="28" spans="1:8">
      <c r="A28" s="16"/>
      <c r="B28" s="92"/>
      <c r="C28" s="89"/>
      <c r="D28" s="90"/>
      <c r="E28" s="91"/>
      <c r="F28" s="89"/>
      <c r="G28" s="90"/>
      <c r="H28" s="88"/>
    </row>
    <row r="29" spans="1:8">
      <c r="A29" s="16"/>
      <c r="B29" s="92"/>
      <c r="C29" s="89"/>
      <c r="D29" s="90"/>
      <c r="E29" s="91"/>
      <c r="F29" s="89"/>
      <c r="G29" s="88"/>
      <c r="H29" s="88"/>
    </row>
    <row r="30" spans="1:8">
      <c r="A30" s="87"/>
    </row>
  </sheetData>
  <sheetProtection selectLockedCells="1"/>
  <mergeCells count="2">
    <mergeCell ref="A1:H1"/>
    <mergeCell ref="A3:C3"/>
  </mergeCells>
  <conditionalFormatting sqref="B6:H29">
    <cfRule type="cellIs" dxfId="33" priority="3" operator="greaterThan">
      <formula>0</formula>
    </cfRule>
  </conditionalFormatting>
  <conditionalFormatting sqref="A6:A11">
    <cfRule type="cellIs" dxfId="32" priority="5" operator="between">
      <formula>0</formula>
      <formula>$D$3</formula>
    </cfRule>
  </conditionalFormatting>
  <dataValidations count="4">
    <dataValidation type="list" allowBlank="1" showInputMessage="1" showErrorMessage="1" sqref="G6:G29">
      <formula1>"Высшая, Первая, Без категории"</formula1>
    </dataValidation>
    <dataValidation type="date" allowBlank="1" showErrorMessage="1" error="Введите дату начала работы в данном учреждении в формате &quot;день.месяц.год&quot;." sqref="F6:F29">
      <formula1>1</formula1>
      <formula2>43616</formula2>
    </dataValidation>
    <dataValidation type="whole" allowBlank="1" showErrorMessage="1" error="Введите либо 0, либо целое положительное число." sqref="D3">
      <formula1>0</formula1>
      <formula2>20</formula2>
    </dataValidation>
    <dataValidation type="date" allowBlank="1" showErrorMessage="1" error="Введите дату рождения в формате &quot;день.месяц.год&quot;." sqref="C6:C11">
      <formula1>1</formula1>
      <formula2>37621</formula2>
    </dataValidation>
  </dataValidations>
  <pageMargins left="0.7" right="0.7" top="0.75" bottom="0.75" header="0.3" footer="0.3"/>
  <pageSetup paperSize="9" orientation="landscape" r:id="rId1"/>
  <headerFooter>
    <oddHeader>&amp;R&amp;"Times New Roman,обычный"&amp;9Анализ деятельности образовательного учреждения культуры по итогам 2020-2021 учебного года</oddHeader>
    <oddFooter>&amp;C&amp;P</oddFooter>
  </headerFooter>
  <legacyDrawing r:id="rId2"/>
</worksheet>
</file>

<file path=xl/worksheets/sheet7.xml><?xml version="1.0" encoding="utf-8"?>
<worksheet xmlns="http://schemas.openxmlformats.org/spreadsheetml/2006/main" xmlns:r="http://schemas.openxmlformats.org/officeDocument/2006/relationships">
  <dimension ref="A1:F10"/>
  <sheetViews>
    <sheetView showWhiteSpace="0" view="pageLayout" workbookViewId="0">
      <selection activeCell="B11" sqref="B11"/>
    </sheetView>
  </sheetViews>
  <sheetFormatPr defaultRowHeight="15"/>
  <cols>
    <col min="1" max="1" width="3.28515625" customWidth="1"/>
    <col min="2" max="2" width="26.7109375" customWidth="1"/>
    <col min="3" max="3" width="10" customWidth="1"/>
    <col min="4" max="4" width="43.7109375" customWidth="1"/>
    <col min="5" max="5" width="10.7109375" customWidth="1"/>
    <col min="6" max="6" width="36.7109375" customWidth="1"/>
  </cols>
  <sheetData>
    <row r="1" spans="1:6" ht="15.75">
      <c r="A1" s="99" t="s">
        <v>123</v>
      </c>
      <c r="B1" s="99"/>
      <c r="C1" s="99"/>
      <c r="D1" s="99"/>
      <c r="E1" s="99"/>
      <c r="F1" s="99"/>
    </row>
    <row r="2" spans="1:6">
      <c r="A2" s="9"/>
      <c r="B2" s="9"/>
      <c r="C2" s="9"/>
      <c r="D2" s="9"/>
      <c r="E2" s="9"/>
      <c r="F2" s="9"/>
    </row>
    <row r="3" spans="1:6">
      <c r="A3" s="125" t="s">
        <v>124</v>
      </c>
      <c r="B3" s="125"/>
      <c r="C3" s="125"/>
      <c r="D3" s="8">
        <v>0</v>
      </c>
      <c r="E3" s="10"/>
      <c r="F3" s="10"/>
    </row>
    <row r="4" spans="1:6">
      <c r="A4" s="9"/>
      <c r="B4" s="9"/>
      <c r="C4" s="9"/>
      <c r="D4" s="9"/>
      <c r="E4" s="9"/>
      <c r="F4" s="9"/>
    </row>
    <row r="5" spans="1:6" ht="51" customHeight="1">
      <c r="A5" s="39" t="s">
        <v>23</v>
      </c>
      <c r="B5" s="39" t="s">
        <v>24</v>
      </c>
      <c r="C5" s="39" t="s">
        <v>25</v>
      </c>
      <c r="D5" s="39" t="s">
        <v>93</v>
      </c>
      <c r="E5" s="39" t="s">
        <v>26</v>
      </c>
      <c r="F5" s="39" t="s">
        <v>28</v>
      </c>
    </row>
    <row r="6" spans="1:6">
      <c r="A6" s="11" t="str">
        <f>IF(1&lt;=D3,1,"")</f>
        <v/>
      </c>
      <c r="B6" s="52"/>
      <c r="C6" s="13"/>
      <c r="D6" s="52"/>
      <c r="E6" s="13"/>
      <c r="F6" s="73"/>
    </row>
    <row r="7" spans="1:6">
      <c r="A7" s="11" t="str">
        <f>IF(A6&lt;D3,2,"")</f>
        <v/>
      </c>
      <c r="B7" s="52"/>
      <c r="C7" s="13"/>
      <c r="D7" s="52"/>
      <c r="E7" s="13"/>
      <c r="F7" s="73"/>
    </row>
    <row r="8" spans="1:6">
      <c r="A8" s="11" t="str">
        <f>IF(A7&lt;D3,3,"")</f>
        <v/>
      </c>
      <c r="B8" s="52"/>
      <c r="C8" s="13"/>
      <c r="D8" s="52"/>
      <c r="E8" s="13"/>
      <c r="F8" s="73"/>
    </row>
    <row r="9" spans="1:6">
      <c r="A9" s="12" t="str">
        <f>IF(A8&lt;D3,4,"")</f>
        <v/>
      </c>
      <c r="B9" s="54"/>
      <c r="C9" s="13"/>
      <c r="D9" s="52"/>
      <c r="E9" s="13"/>
      <c r="F9" s="73"/>
    </row>
    <row r="10" spans="1:6">
      <c r="A10" s="12" t="str">
        <f>IF(A9&lt;D3,5,"")</f>
        <v/>
      </c>
      <c r="B10" s="54"/>
      <c r="C10" s="13"/>
      <c r="D10" s="52"/>
      <c r="E10" s="13"/>
      <c r="F10" s="73"/>
    </row>
  </sheetData>
  <sheetProtection formatCells="0" selectLockedCells="1"/>
  <mergeCells count="2">
    <mergeCell ref="A1:F1"/>
    <mergeCell ref="A3:C3"/>
  </mergeCells>
  <conditionalFormatting sqref="B6:F10">
    <cfRule type="cellIs" dxfId="31" priority="2" operator="greaterThan">
      <formula>0</formula>
    </cfRule>
  </conditionalFormatting>
  <conditionalFormatting sqref="A6:A10">
    <cfRule type="cellIs" dxfId="30" priority="1" operator="between">
      <formula>1</formula>
      <formula>5</formula>
    </cfRule>
  </conditionalFormatting>
  <dataValidations disablePrompts="1" count="3">
    <dataValidation allowBlank="1" showErrorMessage="1" error="Введите либо 0, либо целое положительное число." sqref="D3"/>
    <dataValidation allowBlank="1" showErrorMessage="1" error="Введите дату рождения в формате &quot;день.месяц.год&quot;." sqref="C6:C10"/>
    <dataValidation allowBlank="1" showErrorMessage="1" error="Введите дату начала работы в данном учреждении в формате &quot;день.месяц.год&quot;." sqref="E6:E10"/>
  </dataValidations>
  <pageMargins left="0.7" right="0.7" top="0.75" bottom="0.75" header="0.3" footer="0.3"/>
  <pageSetup paperSize="9" orientation="landscape" r:id="rId1"/>
  <headerFooter>
    <oddHeader>&amp;R&amp;"Times New Roman,обычный"&amp;10Анализ деятельности образовательного учреждения культурыпо итогам 2020-2021 учебного года</oddHeader>
    <oddFooter>&amp;C&amp;P</oddFooter>
  </headerFooter>
  <legacyDrawing r:id="rId2"/>
</worksheet>
</file>

<file path=xl/worksheets/sheet8.xml><?xml version="1.0" encoding="utf-8"?>
<worksheet xmlns="http://schemas.openxmlformats.org/spreadsheetml/2006/main" xmlns:r="http://schemas.openxmlformats.org/officeDocument/2006/relationships">
  <dimension ref="A1:H24"/>
  <sheetViews>
    <sheetView showWhiteSpace="0" view="pageLayout" workbookViewId="0">
      <selection activeCell="H7" sqref="H7"/>
    </sheetView>
  </sheetViews>
  <sheetFormatPr defaultRowHeight="15"/>
  <cols>
    <col min="1" max="1" width="4.28515625" style="1" customWidth="1"/>
    <col min="2" max="2" width="34.140625" style="1" customWidth="1"/>
    <col min="3" max="3" width="14.140625" style="1" customWidth="1"/>
    <col min="4" max="8" width="15.7109375" style="1" customWidth="1"/>
    <col min="9" max="16384" width="9.140625" style="1"/>
  </cols>
  <sheetData>
    <row r="1" spans="1:8" ht="15.75">
      <c r="A1" s="99" t="s">
        <v>130</v>
      </c>
      <c r="B1" s="99"/>
      <c r="C1" s="99"/>
      <c r="D1" s="99"/>
      <c r="E1" s="99"/>
      <c r="F1" s="99"/>
      <c r="G1" s="99"/>
      <c r="H1" s="99"/>
    </row>
    <row r="3" spans="1:8" ht="15" customHeight="1">
      <c r="A3" s="102" t="s">
        <v>23</v>
      </c>
      <c r="B3" s="102" t="s">
        <v>33</v>
      </c>
      <c r="C3" s="102" t="s">
        <v>34</v>
      </c>
      <c r="D3" s="102" t="s">
        <v>35</v>
      </c>
      <c r="E3" s="126" t="s">
        <v>36</v>
      </c>
      <c r="F3" s="127"/>
      <c r="G3" s="127"/>
      <c r="H3" s="128"/>
    </row>
    <row r="4" spans="1:8" ht="60">
      <c r="A4" s="102"/>
      <c r="B4" s="102"/>
      <c r="C4" s="102"/>
      <c r="D4" s="102"/>
      <c r="E4" s="48" t="s">
        <v>37</v>
      </c>
      <c r="F4" s="48" t="s">
        <v>38</v>
      </c>
      <c r="G4" s="48" t="s">
        <v>39</v>
      </c>
      <c r="H4" s="48" t="s">
        <v>129</v>
      </c>
    </row>
    <row r="5" spans="1:8" ht="30">
      <c r="A5" s="48">
        <v>1</v>
      </c>
      <c r="B5" s="27" t="s">
        <v>293</v>
      </c>
      <c r="C5" s="26" t="s">
        <v>246</v>
      </c>
      <c r="D5" s="26">
        <v>1471.2757099999999</v>
      </c>
      <c r="E5" s="26">
        <v>0</v>
      </c>
      <c r="F5" s="26">
        <v>1471.2757099999999</v>
      </c>
      <c r="G5" s="26">
        <v>0</v>
      </c>
      <c r="H5" s="26">
        <v>0</v>
      </c>
    </row>
    <row r="6" spans="1:8" ht="30">
      <c r="A6" s="48">
        <v>2</v>
      </c>
      <c r="B6" s="27" t="s">
        <v>295</v>
      </c>
      <c r="C6" s="26" t="s">
        <v>294</v>
      </c>
      <c r="D6" s="26">
        <v>2.4079999999999999</v>
      </c>
      <c r="E6" s="26">
        <v>0</v>
      </c>
      <c r="F6" s="26">
        <v>2.4079999999999999</v>
      </c>
      <c r="G6" s="26">
        <v>0</v>
      </c>
      <c r="H6" s="26">
        <v>0</v>
      </c>
    </row>
    <row r="7" spans="1:8" ht="30">
      <c r="A7" s="48">
        <v>3</v>
      </c>
      <c r="B7" s="27" t="s">
        <v>296</v>
      </c>
      <c r="C7" s="26" t="s">
        <v>294</v>
      </c>
      <c r="D7" s="26">
        <v>22.008400000000002</v>
      </c>
      <c r="E7" s="26">
        <v>0</v>
      </c>
      <c r="F7" s="26">
        <v>22.008400000000002</v>
      </c>
      <c r="G7" s="26">
        <v>0</v>
      </c>
      <c r="H7" s="26">
        <v>0</v>
      </c>
    </row>
    <row r="8" spans="1:8">
      <c r="A8" s="48">
        <v>4</v>
      </c>
      <c r="B8" s="27"/>
      <c r="C8" s="26"/>
      <c r="D8" s="26"/>
      <c r="E8" s="26"/>
      <c r="F8" s="26"/>
      <c r="G8" s="26"/>
      <c r="H8" s="26"/>
    </row>
    <row r="9" spans="1:8">
      <c r="A9" s="48">
        <v>5</v>
      </c>
      <c r="B9" s="27"/>
      <c r="C9" s="26"/>
      <c r="D9" s="26"/>
      <c r="E9" s="26"/>
      <c r="F9" s="26"/>
      <c r="G9" s="26"/>
      <c r="H9" s="26"/>
    </row>
    <row r="10" spans="1:8" ht="15" customHeight="1">
      <c r="A10" s="6"/>
      <c r="B10" s="6"/>
      <c r="C10" s="6"/>
      <c r="D10" s="6"/>
      <c r="E10" s="6"/>
      <c r="F10" s="6"/>
      <c r="G10" s="6"/>
      <c r="H10" s="6"/>
    </row>
    <row r="11" spans="1:8" ht="15" customHeight="1">
      <c r="A11" s="129" t="s">
        <v>131</v>
      </c>
      <c r="B11" s="129"/>
      <c r="C11" s="129"/>
      <c r="D11" s="129"/>
      <c r="E11" s="129"/>
      <c r="F11" s="129"/>
      <c r="G11" s="129"/>
      <c r="H11" s="129"/>
    </row>
    <row r="13" spans="1:8">
      <c r="A13" s="102" t="s">
        <v>23</v>
      </c>
      <c r="B13" s="102" t="s">
        <v>41</v>
      </c>
      <c r="C13" s="102" t="s">
        <v>40</v>
      </c>
      <c r="D13" s="102" t="s">
        <v>125</v>
      </c>
      <c r="E13" s="126" t="s">
        <v>36</v>
      </c>
      <c r="F13" s="127"/>
      <c r="G13" s="127"/>
      <c r="H13" s="128"/>
    </row>
    <row r="14" spans="1:8" ht="60">
      <c r="A14" s="102"/>
      <c r="B14" s="102"/>
      <c r="C14" s="102"/>
      <c r="D14" s="102"/>
      <c r="E14" s="48" t="s">
        <v>37</v>
      </c>
      <c r="F14" s="48" t="s">
        <v>38</v>
      </c>
      <c r="G14" s="48" t="s">
        <v>39</v>
      </c>
      <c r="H14" s="48" t="s">
        <v>129</v>
      </c>
    </row>
    <row r="15" spans="1:8">
      <c r="A15" s="24"/>
      <c r="B15" s="24" t="s">
        <v>128</v>
      </c>
      <c r="C15" s="24">
        <v>0</v>
      </c>
      <c r="D15" s="24">
        <v>0</v>
      </c>
      <c r="E15" s="24">
        <v>0</v>
      </c>
      <c r="F15" s="24">
        <v>0</v>
      </c>
      <c r="G15" s="24">
        <v>0</v>
      </c>
      <c r="H15" s="24">
        <v>0</v>
      </c>
    </row>
    <row r="16" spans="1:8">
      <c r="A16" s="24"/>
      <c r="B16" s="24"/>
      <c r="C16" s="24"/>
      <c r="D16" s="24"/>
      <c r="E16" s="24"/>
      <c r="F16" s="24"/>
      <c r="G16" s="24"/>
      <c r="H16" s="24"/>
    </row>
    <row r="17" spans="1:8">
      <c r="A17" s="24"/>
      <c r="B17" s="24"/>
      <c r="C17" s="24"/>
      <c r="D17" s="24"/>
      <c r="E17" s="24"/>
      <c r="F17" s="24"/>
      <c r="G17" s="24"/>
      <c r="H17" s="24"/>
    </row>
    <row r="18" spans="1:8">
      <c r="A18" s="24"/>
      <c r="B18" s="24"/>
      <c r="C18" s="24"/>
      <c r="D18" s="24"/>
      <c r="E18" s="24"/>
      <c r="F18" s="24"/>
      <c r="G18" s="24"/>
      <c r="H18" s="24"/>
    </row>
    <row r="19" spans="1:8">
      <c r="A19" s="24"/>
      <c r="B19" s="24"/>
      <c r="C19" s="24"/>
      <c r="D19" s="24"/>
      <c r="E19" s="24"/>
      <c r="F19" s="24"/>
      <c r="G19" s="24"/>
      <c r="H19" s="24"/>
    </row>
    <row r="20" spans="1:8">
      <c r="A20" s="24"/>
      <c r="B20" s="24"/>
      <c r="C20" s="24"/>
      <c r="D20" s="24"/>
      <c r="E20" s="24"/>
      <c r="F20" s="24"/>
      <c r="G20" s="24"/>
      <c r="H20" s="24"/>
    </row>
    <row r="21" spans="1:8">
      <c r="A21" s="24"/>
      <c r="B21" s="24"/>
      <c r="C21" s="24"/>
      <c r="D21" s="24"/>
      <c r="E21" s="24"/>
      <c r="F21" s="24"/>
      <c r="G21" s="24"/>
      <c r="H21" s="24"/>
    </row>
    <row r="22" spans="1:8">
      <c r="A22" s="24"/>
      <c r="B22" s="24"/>
      <c r="C22" s="24"/>
      <c r="D22" s="24"/>
      <c r="E22" s="24"/>
      <c r="F22" s="24"/>
      <c r="G22" s="24"/>
      <c r="H22" s="24"/>
    </row>
    <row r="23" spans="1:8">
      <c r="A23" s="24"/>
      <c r="B23" s="24"/>
      <c r="C23" s="24"/>
      <c r="D23" s="24"/>
      <c r="E23" s="24"/>
      <c r="F23" s="24"/>
      <c r="G23" s="24"/>
      <c r="H23" s="24"/>
    </row>
    <row r="24" spans="1:8">
      <c r="A24" s="24"/>
      <c r="B24" s="24"/>
      <c r="C24" s="24"/>
      <c r="D24" s="24"/>
      <c r="E24" s="24"/>
      <c r="F24" s="24"/>
      <c r="G24" s="24"/>
      <c r="H24" s="24"/>
    </row>
  </sheetData>
  <sheetProtection selectLockedCells="1"/>
  <mergeCells count="12">
    <mergeCell ref="A11:H11"/>
    <mergeCell ref="A13:A14"/>
    <mergeCell ref="B13:B14"/>
    <mergeCell ref="C13:C14"/>
    <mergeCell ref="D13:D14"/>
    <mergeCell ref="E13:H13"/>
    <mergeCell ref="A1:H1"/>
    <mergeCell ref="A3:A4"/>
    <mergeCell ref="B3:B4"/>
    <mergeCell ref="C3:C4"/>
    <mergeCell ref="D3:D4"/>
    <mergeCell ref="E3:H3"/>
  </mergeCells>
  <conditionalFormatting sqref="B15:H24">
    <cfRule type="cellIs" dxfId="29" priority="2" operator="greaterThan">
      <formula>0</formula>
    </cfRule>
  </conditionalFormatting>
  <conditionalFormatting sqref="A15:A24">
    <cfRule type="cellIs" dxfId="28" priority="1" operator="between">
      <formula>1</formula>
      <formula>10</formula>
    </cfRule>
  </conditionalFormatting>
  <dataValidations count="5">
    <dataValidation type="decimal" allowBlank="1" showInputMessage="1" showErrorMessage="1" sqref="D15:D24">
      <formula1>0</formula1>
      <formula2>1000000000</formula2>
    </dataValidation>
    <dataValidation type="whole" allowBlank="1" showInputMessage="1" showErrorMessage="1" sqref="C15:C24">
      <formula1>0</formula1>
      <formula2>100</formula2>
    </dataValidation>
    <dataValidation type="decimal" allowBlank="1" showInputMessage="1" showErrorMessage="1" sqref="D5 E5:E9 G5:G9 F5:F6 F8:F9">
      <formula1>0</formula1>
      <formula2>9999999</formula2>
    </dataValidation>
    <dataValidation type="list" allowBlank="1" showInputMessage="1" showErrorMessage="1" sqref="C5:C10">
      <formula1>"Текущий, Капитальный"</formula1>
    </dataValidation>
    <dataValidation type="decimal" allowBlank="1" showInputMessage="1" showErrorMessage="1" sqref="E15:G24">
      <formula1>0</formula1>
      <formula2>10000</formula2>
    </dataValidation>
  </dataValidations>
  <pageMargins left="0.7" right="0.7" top="0.75" bottom="0.75" header="0.3" footer="0.3"/>
  <pageSetup paperSize="9" orientation="landscape" r:id="rId1"/>
  <headerFooter>
    <oddHeader>&amp;R&amp;"Times New Roman,обычный"&amp;10Анализ деятельности образовательного учреждения культурыпо итогам 2020-2021 учебного года</oddHeader>
    <oddFooter>&amp;C&amp;P</oddFooter>
  </headerFooter>
  <legacyDrawing r:id="rId2"/>
</worksheet>
</file>

<file path=xl/worksheets/sheet9.xml><?xml version="1.0" encoding="utf-8"?>
<worksheet xmlns="http://schemas.openxmlformats.org/spreadsheetml/2006/main" xmlns:r="http://schemas.openxmlformats.org/officeDocument/2006/relationships">
  <dimension ref="A1:H19"/>
  <sheetViews>
    <sheetView showWhiteSpace="0" view="pageLayout" workbookViewId="0">
      <selection activeCell="G25" sqref="G25"/>
    </sheetView>
  </sheetViews>
  <sheetFormatPr defaultRowHeight="15"/>
  <cols>
    <col min="1" max="1" width="5.85546875" style="1" customWidth="1"/>
    <col min="2" max="2" width="29.28515625" style="1" customWidth="1"/>
    <col min="3" max="8" width="16" style="1" customWidth="1"/>
    <col min="9" max="16384" width="9.140625" style="1"/>
  </cols>
  <sheetData>
    <row r="1" spans="1:8" ht="15.75">
      <c r="A1" s="99" t="s">
        <v>132</v>
      </c>
      <c r="B1" s="99"/>
      <c r="C1" s="99"/>
      <c r="D1" s="99"/>
      <c r="E1" s="99"/>
      <c r="F1" s="99"/>
      <c r="G1" s="99"/>
      <c r="H1" s="99"/>
    </row>
    <row r="3" spans="1:8">
      <c r="A3" s="102" t="s">
        <v>23</v>
      </c>
      <c r="B3" s="102" t="s">
        <v>73</v>
      </c>
      <c r="C3" s="102" t="s">
        <v>40</v>
      </c>
      <c r="D3" s="102" t="s">
        <v>126</v>
      </c>
      <c r="E3" s="102" t="s">
        <v>36</v>
      </c>
      <c r="F3" s="102"/>
      <c r="G3" s="102"/>
      <c r="H3" s="102"/>
    </row>
    <row r="4" spans="1:8" ht="60">
      <c r="A4" s="102"/>
      <c r="B4" s="102"/>
      <c r="C4" s="102"/>
      <c r="D4" s="102"/>
      <c r="E4" s="48" t="s">
        <v>37</v>
      </c>
      <c r="F4" s="48" t="s">
        <v>38</v>
      </c>
      <c r="G4" s="48" t="s">
        <v>39</v>
      </c>
      <c r="H4" s="48" t="s">
        <v>129</v>
      </c>
    </row>
    <row r="5" spans="1:8">
      <c r="A5" s="31">
        <v>1</v>
      </c>
      <c r="B5" s="24" t="s">
        <v>247</v>
      </c>
      <c r="C5" s="24">
        <v>12</v>
      </c>
      <c r="D5" s="24">
        <v>8.5</v>
      </c>
      <c r="E5" s="24">
        <v>0</v>
      </c>
      <c r="F5" s="24">
        <v>8.5</v>
      </c>
      <c r="G5" s="24">
        <v>0</v>
      </c>
      <c r="H5" s="24">
        <v>0</v>
      </c>
    </row>
    <row r="6" spans="1:8" ht="30">
      <c r="A6" s="31">
        <v>2</v>
      </c>
      <c r="B6" s="24" t="s">
        <v>248</v>
      </c>
      <c r="C6" s="24">
        <v>2</v>
      </c>
      <c r="D6" s="24">
        <v>28</v>
      </c>
      <c r="E6" s="24">
        <v>0</v>
      </c>
      <c r="F6" s="24">
        <v>28</v>
      </c>
      <c r="G6" s="24">
        <v>0</v>
      </c>
      <c r="H6" s="24">
        <v>0</v>
      </c>
    </row>
    <row r="7" spans="1:8" ht="30">
      <c r="A7" s="31">
        <v>3</v>
      </c>
      <c r="B7" s="24" t="s">
        <v>249</v>
      </c>
      <c r="C7" s="24">
        <v>3</v>
      </c>
      <c r="D7" s="24">
        <v>8.4</v>
      </c>
      <c r="E7" s="24">
        <v>0</v>
      </c>
      <c r="F7" s="24">
        <v>8.4</v>
      </c>
      <c r="G7" s="24">
        <v>0</v>
      </c>
      <c r="H7" s="24">
        <v>0</v>
      </c>
    </row>
    <row r="8" spans="1:8">
      <c r="A8" s="31">
        <v>4</v>
      </c>
      <c r="B8" s="24" t="s">
        <v>250</v>
      </c>
      <c r="C8" s="24">
        <v>1</v>
      </c>
      <c r="D8" s="24">
        <v>3.5</v>
      </c>
      <c r="E8" s="24">
        <v>0</v>
      </c>
      <c r="F8" s="24">
        <v>3.5</v>
      </c>
      <c r="G8" s="24">
        <v>0</v>
      </c>
      <c r="H8" s="24">
        <v>0</v>
      </c>
    </row>
    <row r="9" spans="1:8">
      <c r="A9" s="31">
        <v>5</v>
      </c>
      <c r="B9" s="24" t="s">
        <v>251</v>
      </c>
      <c r="C9" s="24">
        <v>1</v>
      </c>
      <c r="D9" s="24">
        <v>1.6</v>
      </c>
      <c r="E9" s="24">
        <v>0</v>
      </c>
      <c r="F9" s="24">
        <v>1.6</v>
      </c>
      <c r="G9" s="24">
        <v>0</v>
      </c>
      <c r="H9" s="24">
        <v>0</v>
      </c>
    </row>
    <row r="10" spans="1:8">
      <c r="A10" s="31">
        <v>6</v>
      </c>
      <c r="B10" s="24" t="s">
        <v>252</v>
      </c>
      <c r="C10" s="24">
        <v>3</v>
      </c>
      <c r="D10" s="24">
        <v>7.2235899999999997</v>
      </c>
      <c r="E10" s="24">
        <v>0</v>
      </c>
      <c r="F10" s="24">
        <v>7.2235899999999997</v>
      </c>
      <c r="G10" s="24">
        <v>0</v>
      </c>
      <c r="H10" s="24">
        <v>0</v>
      </c>
    </row>
    <row r="11" spans="1:8">
      <c r="A11" s="31">
        <v>7</v>
      </c>
      <c r="B11" s="24" t="s">
        <v>253</v>
      </c>
      <c r="C11" s="24">
        <v>4</v>
      </c>
      <c r="D11" s="24">
        <v>10</v>
      </c>
      <c r="E11" s="24">
        <v>0</v>
      </c>
      <c r="F11" s="24">
        <v>10</v>
      </c>
      <c r="G11" s="24">
        <v>0</v>
      </c>
      <c r="H11" s="24">
        <v>0</v>
      </c>
    </row>
    <row r="12" spans="1:8">
      <c r="A12" s="31">
        <v>8</v>
      </c>
      <c r="B12" s="24" t="s">
        <v>254</v>
      </c>
      <c r="C12" s="24">
        <v>2</v>
      </c>
      <c r="D12" s="24">
        <v>4.8</v>
      </c>
      <c r="E12" s="24">
        <v>0</v>
      </c>
      <c r="F12" s="24">
        <v>4.8</v>
      </c>
      <c r="G12" s="24">
        <v>0</v>
      </c>
      <c r="H12" s="24">
        <v>0</v>
      </c>
    </row>
    <row r="13" spans="1:8">
      <c r="A13" s="31">
        <v>9</v>
      </c>
      <c r="B13" s="24" t="s">
        <v>255</v>
      </c>
      <c r="C13" s="24">
        <v>1</v>
      </c>
      <c r="D13" s="24">
        <v>26.99</v>
      </c>
      <c r="E13" s="24">
        <v>0</v>
      </c>
      <c r="F13" s="24">
        <v>26.99</v>
      </c>
      <c r="G13" s="24">
        <v>0</v>
      </c>
      <c r="H13" s="24">
        <v>0</v>
      </c>
    </row>
    <row r="14" spans="1:8">
      <c r="A14" s="31">
        <v>10</v>
      </c>
      <c r="B14" s="24" t="s">
        <v>256</v>
      </c>
      <c r="C14" s="24">
        <v>1</v>
      </c>
      <c r="D14" s="24">
        <v>11.25</v>
      </c>
      <c r="E14" s="24">
        <v>0</v>
      </c>
      <c r="F14" s="24">
        <v>11.25</v>
      </c>
      <c r="G14" s="24">
        <v>0</v>
      </c>
      <c r="H14" s="24">
        <v>0</v>
      </c>
    </row>
    <row r="15" spans="1:8">
      <c r="A15" s="31"/>
      <c r="B15" s="24"/>
      <c r="C15" s="24"/>
      <c r="D15" s="24"/>
      <c r="E15" s="24"/>
      <c r="F15" s="24"/>
      <c r="G15" s="24"/>
      <c r="H15" s="24"/>
    </row>
    <row r="16" spans="1:8">
      <c r="A16" s="31"/>
      <c r="B16" s="24"/>
      <c r="C16" s="24"/>
      <c r="D16" s="24"/>
      <c r="E16" s="24"/>
      <c r="F16" s="24"/>
      <c r="G16" s="24"/>
      <c r="H16" s="24"/>
    </row>
    <row r="17" spans="1:8">
      <c r="A17" s="31"/>
      <c r="B17" s="24"/>
      <c r="C17" s="24"/>
      <c r="D17" s="24"/>
      <c r="E17" s="24"/>
      <c r="F17" s="24"/>
      <c r="G17" s="24"/>
      <c r="H17" s="24"/>
    </row>
    <row r="18" spans="1:8">
      <c r="A18" s="31"/>
      <c r="B18" s="24"/>
      <c r="C18" s="24"/>
      <c r="D18" s="24"/>
      <c r="E18" s="24"/>
      <c r="F18" s="24"/>
      <c r="G18" s="24"/>
      <c r="H18" s="24"/>
    </row>
    <row r="19" spans="1:8">
      <c r="A19" s="31"/>
      <c r="B19" s="24"/>
      <c r="C19" s="24"/>
      <c r="D19" s="24"/>
      <c r="E19" s="24"/>
      <c r="F19" s="24"/>
      <c r="G19" s="24"/>
      <c r="H19" s="24"/>
    </row>
  </sheetData>
  <sheetProtection selectLockedCells="1"/>
  <mergeCells count="6">
    <mergeCell ref="A1:H1"/>
    <mergeCell ref="A3:A4"/>
    <mergeCell ref="B3:B4"/>
    <mergeCell ref="C3:C4"/>
    <mergeCell ref="D3:D4"/>
    <mergeCell ref="E3:H3"/>
  </mergeCells>
  <conditionalFormatting sqref="E5:H19 B5:C19">
    <cfRule type="cellIs" dxfId="27" priority="5" operator="greaterThan">
      <formula>0</formula>
    </cfRule>
  </conditionalFormatting>
  <conditionalFormatting sqref="D5:D19">
    <cfRule type="cellIs" dxfId="26" priority="4" operator="between">
      <formula>0.001</formula>
      <formula>9999999</formula>
    </cfRule>
  </conditionalFormatting>
  <conditionalFormatting sqref="A5:A19">
    <cfRule type="notContainsBlanks" dxfId="25" priority="2">
      <formula>LEN(TRIM(A5))&gt;0</formula>
    </cfRule>
  </conditionalFormatting>
  <conditionalFormatting sqref="F10">
    <cfRule type="cellIs" dxfId="24" priority="1" operator="between">
      <formula>0.001</formula>
      <formula>9999999</formula>
    </cfRule>
  </conditionalFormatting>
  <dataValidations count="2">
    <dataValidation type="decimal" allowBlank="1" showInputMessage="1" showErrorMessage="1" sqref="D5:G19">
      <formula1>0</formula1>
      <formula2>10000</formula2>
    </dataValidation>
    <dataValidation type="whole" allowBlank="1" showInputMessage="1" showErrorMessage="1" sqref="C5:C19">
      <formula1>1</formula1>
      <formula2>9999</formula2>
    </dataValidation>
  </dataValidations>
  <pageMargins left="0.7" right="0.7" top="0.75" bottom="0.75" header="0.3" footer="0.3"/>
  <pageSetup paperSize="9" orientation="landscape" r:id="rId1"/>
  <headerFooter>
    <oddHeader>&amp;R&amp;"Times New Roman,обычный"&amp;10Анализ деятельности образовательного учреждения культурыпо итогам 2020-2021 учебного года</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дши</cp:lastModifiedBy>
  <cp:lastPrinted>2021-06-03T06:58:49Z</cp:lastPrinted>
  <dcterms:created xsi:type="dcterms:W3CDTF">2006-09-16T00:00:00Z</dcterms:created>
  <dcterms:modified xsi:type="dcterms:W3CDTF">2021-06-07T12:55:34Z</dcterms:modified>
</cp:coreProperties>
</file>